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h.bout\Documents\Pers-Zaken\Huisvesting\Virgo 51  Assen\Diverse problemen\Gas Loze Ellende\Bouwkundige Kosten\"/>
    </mc:Choice>
  </mc:AlternateContent>
  <xr:revisionPtr revIDLastSave="0" documentId="13_ncr:1_{B7AC6FA9-C6A9-4C20-BE28-7032D3485EC0}" xr6:coauthVersionLast="47" xr6:coauthVersionMax="47" xr10:uidLastSave="{00000000-0000-0000-0000-000000000000}"/>
  <bookViews>
    <workbookView xWindow="-120" yWindow="-120" windowWidth="29040" windowHeight="17790" xr2:uid="{33AA58F5-91EE-4412-AC4E-F2B12B373A05}"/>
  </bookViews>
  <sheets>
    <sheet name="Gebruikers Blad" sheetId="2" r:id="rId1"/>
    <sheet name="Hulp Blad" sheetId="4" state="hidden" r:id="rId2"/>
    <sheet name="Gegevens Model Woning"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8" i="2" l="1"/>
  <c r="G45" i="2"/>
  <c r="I136" i="2"/>
  <c r="I130" i="2"/>
  <c r="I139" i="2"/>
  <c r="I80" i="2"/>
  <c r="I105" i="2"/>
  <c r="H112" i="2"/>
  <c r="I112" i="2" s="1"/>
  <c r="H111" i="2"/>
  <c r="I111" i="2" s="1"/>
  <c r="F12" i="2"/>
  <c r="A15" i="2"/>
  <c r="D42" i="4"/>
  <c r="D41" i="4"/>
  <c r="G12" i="2"/>
  <c r="D91" i="4"/>
  <c r="L56" i="4"/>
  <c r="L55" i="4"/>
  <c r="D61" i="4" s="1"/>
  <c r="H92" i="2" s="1"/>
  <c r="I92" i="2" s="1"/>
  <c r="F56" i="4"/>
  <c r="F54" i="4"/>
  <c r="D54" i="4"/>
  <c r="D24" i="4"/>
  <c r="D75" i="4"/>
  <c r="A20" i="2"/>
  <c r="H89" i="2"/>
  <c r="H93" i="2" s="1"/>
  <c r="I93" i="2" s="1"/>
  <c r="G10" i="3"/>
  <c r="G9" i="3"/>
  <c r="H83" i="2"/>
  <c r="I83" i="2" s="1"/>
  <c r="H82" i="2"/>
  <c r="I82" i="2" s="1"/>
  <c r="G37" i="3"/>
  <c r="G36" i="3"/>
  <c r="G35" i="3"/>
  <c r="G30" i="3"/>
  <c r="G29" i="3"/>
  <c r="G8" i="3"/>
  <c r="G31" i="3"/>
  <c r="D29" i="4"/>
  <c r="D28" i="4"/>
  <c r="D49" i="4"/>
  <c r="F51" i="2"/>
  <c r="H121" i="2"/>
  <c r="I121" i="2" s="1"/>
  <c r="H125" i="2"/>
  <c r="I125" i="2" s="1"/>
  <c r="A70" i="2"/>
  <c r="H137" i="2"/>
  <c r="I137" i="2" s="1"/>
  <c r="H132" i="2"/>
  <c r="I132" i="2" s="1"/>
  <c r="H133" i="2"/>
  <c r="I133" i="2" s="1"/>
  <c r="H134" i="2"/>
  <c r="I134" i="2" s="1"/>
  <c r="H131" i="2"/>
  <c r="I131" i="2" s="1"/>
  <c r="H119" i="2"/>
  <c r="I119" i="2" s="1"/>
  <c r="H118" i="2"/>
  <c r="I118" i="2" s="1"/>
  <c r="H117" i="2"/>
  <c r="I117" i="2" s="1"/>
  <c r="H116" i="2"/>
  <c r="I116" i="2" s="1"/>
  <c r="H115" i="2"/>
  <c r="I115" i="2" s="1"/>
  <c r="F61" i="2"/>
  <c r="H108" i="2"/>
  <c r="I108" i="2" s="1"/>
  <c r="F57" i="4"/>
  <c r="F55" i="4"/>
  <c r="D53" i="4"/>
  <c r="F24" i="2"/>
  <c r="F28" i="2"/>
  <c r="F19" i="2"/>
  <c r="M2" i="3"/>
  <c r="G21" i="3"/>
  <c r="M20" i="3"/>
  <c r="M19" i="3"/>
  <c r="G18" i="3"/>
  <c r="G16" i="3"/>
  <c r="D82" i="3"/>
  <c r="D85" i="3" s="1"/>
  <c r="C8" i="3"/>
  <c r="I17" i="3" s="1"/>
  <c r="I89" i="2" l="1"/>
  <c r="L54" i="4"/>
  <c r="N54" i="4" s="1"/>
  <c r="N56" i="4"/>
  <c r="N55" i="4"/>
  <c r="L53" i="4"/>
  <c r="H100" i="2"/>
  <c r="I100" i="2" s="1"/>
  <c r="H94" i="2"/>
  <c r="I94" i="2" s="1"/>
  <c r="H90" i="2"/>
  <c r="I90" i="2" s="1"/>
  <c r="H95" i="2"/>
  <c r="I95" i="2" s="1"/>
  <c r="H91" i="2"/>
  <c r="I91" i="2" s="1"/>
  <c r="H96" i="2"/>
  <c r="I96" i="2" s="1"/>
  <c r="N57" i="4"/>
  <c r="D31" i="4"/>
  <c r="H53" i="2"/>
  <c r="I53" i="2" s="1"/>
  <c r="H73" i="2"/>
  <c r="I73" i="2" s="1"/>
  <c r="D63" i="4" l="1"/>
  <c r="H104" i="2" s="1"/>
  <c r="I104" i="2" s="1"/>
  <c r="H81" i="2"/>
  <c r="I81" i="2" s="1"/>
  <c r="H84" i="2"/>
  <c r="I84" i="2" s="1"/>
  <c r="H85" i="2"/>
  <c r="I85" i="2" s="1"/>
  <c r="H101" i="2" l="1"/>
  <c r="I101" i="2" s="1"/>
  <c r="H102" i="2"/>
  <c r="I102" i="2" s="1"/>
  <c r="H103" i="2"/>
  <c r="I103" i="2" s="1"/>
  <c r="H141" i="2" l="1"/>
  <c r="H143" i="2" l="1"/>
  <c r="I143" i="2" s="1"/>
  <c r="I141" i="2"/>
</calcChain>
</file>

<file path=xl/sharedStrings.xml><?xml version="1.0" encoding="utf-8"?>
<sst xmlns="http://schemas.openxmlformats.org/spreadsheetml/2006/main" count="630" uniqueCount="333">
  <si>
    <t>Kosten</t>
  </si>
  <si>
    <t>Eenmalig</t>
  </si>
  <si>
    <t>Warmtepomp</t>
  </si>
  <si>
    <t>Subsidie warmtepomp (afhankelijk van het model)</t>
  </si>
  <si>
    <t>1300 tot 3400 euro subsidie</t>
  </si>
  <si>
    <t>Kosten van verzwaren elektriciteitaansluiting (alleen als meer dan 3x25A nodig is)</t>
  </si>
  <si>
    <t>Enexis kosten voor &gt; 3x25A</t>
  </si>
  <si>
    <t>Kosten installatie extra groep in meterkast voor warmtepomp</t>
  </si>
  <si>
    <t>Trekken stroom kabel van meterkast naar warmtepomp (denk ook aan muur sleuf repareren)</t>
  </si>
  <si>
    <t>afhankelijk van afstand en bereikbaarheid</t>
  </si>
  <si>
    <t>500-1500 euro</t>
  </si>
  <si>
    <t>Installatie vloerverwarming</t>
  </si>
  <si>
    <t>Aanschaf en Aanleg vloerverwarming (inclusief cement vloer)</t>
  </si>
  <si>
    <t>35 euro per m2 bij 75m2</t>
  </si>
  <si>
    <t>Aanschaf en Aanleg nieuwe vloer (parket/tegels/pvc etc)</t>
  </si>
  <si>
    <t>Inkorten deuren</t>
  </si>
  <si>
    <t>data kabels moelijk te repareren</t>
  </si>
  <si>
    <t>Installatie laag temperatuur radiatoren</t>
  </si>
  <si>
    <t>Slopen en afvoer hoog temperatuur radiatoren</t>
  </si>
  <si>
    <t>Aanschaf en installatie laag temperatuur radiatoren</t>
  </si>
  <si>
    <t>Aanleg stopcontact bij radiatoren tbv ventilator</t>
  </si>
  <si>
    <t>Herstellen muren (stucen) na infrezen nieuwe stopcontacten en kabels</t>
  </si>
  <si>
    <t>Vrijmaken muren als meer radiator oppervlakte nodig is</t>
  </si>
  <si>
    <t>niet begroot</t>
  </si>
  <si>
    <t>Bouwkundige aanpassingen tbv warmtepomp apparatuur</t>
  </si>
  <si>
    <t>Verzwaren dakconstructie om gewicht warmtepomp te dragen bij installatie op dak (dakinstallatie kan nodig zijn bijvoorbeeld als CV op zolder is gemonteerd)</t>
  </si>
  <si>
    <t>Verzwaren draagconstructie zoldervloer (ivm buffervat en warm wateropslag)</t>
  </si>
  <si>
    <t>Bouwen van technische ruimte voor warmtepomp apparatuur (indien huidige beschikbare ruimte te klein is)</t>
  </si>
  <si>
    <t>Keuken</t>
  </si>
  <si>
    <t>Slopen en afvoeren gasfornuis</t>
  </si>
  <si>
    <t>Aanschaf en installatie elektrische kookplaat</t>
  </si>
  <si>
    <t>Stroomkabel trekken meterkast naar kookplaat</t>
  </si>
  <si>
    <t>Kosten installatie extra groep in meterkast voor kookplaat</t>
  </si>
  <si>
    <t>Aanschaf inductie pannenset (gaspannen werken meestal niet meer op inductie)</t>
  </si>
  <si>
    <t>Let op in sommige gevallen zal de hele keuken vervangen of opgehoogd moeten worden door hoogte verschil van nieuwe vloerverwarming</t>
  </si>
  <si>
    <t>Badkamer</t>
  </si>
  <si>
    <t>Vervangen hoogtemperatuur handdoek droog radiator</t>
  </si>
  <si>
    <t>Bij vloerverwarming in badkamer check of deze geschikt is voor laag temperatuur. Zo niet dan mogelijk nieuwe vloer(verwarming) in badkamer nodig</t>
  </si>
  <si>
    <t>Zonnepanelen</t>
  </si>
  <si>
    <t>Aanschaf en installatie zonnepanelen (indien dak geschikt is)</t>
  </si>
  <si>
    <t>Teruggave BTW zonnepanelen</t>
  </si>
  <si>
    <t>Kosten installatie extra groep in meterkast voor zonnepanelen</t>
  </si>
  <si>
    <t>Let op voordeel salderingsregeling stopt  in 2030. Daarna waarschijnlijk voor een warmtepomp dure "winterstoom" kopen en lage "zon-zomerstroom" vergoeding ontvangen op zonnepanelen.</t>
  </si>
  <si>
    <t>tot 2030</t>
  </si>
  <si>
    <t>Overig</t>
  </si>
  <si>
    <t>Kosten extra isolatie woning. Afhankelijk van huidig isolatie nivo. Denk bijvoorbeeld aan koudeval inpandige onverwarmde garage</t>
  </si>
  <si>
    <t>12 m2 max 1 maand</t>
  </si>
  <si>
    <t>Bij laadpunt elektrische auto check of warmtepomp en auto op de elektrische ansluiting passen. Zo niet dan verzwaren is verzwaren elektriciteitsaansluiting nodig</t>
  </si>
  <si>
    <t>Kosten verbouwingslening</t>
  </si>
  <si>
    <t>Eenmalige kosten afsluiten lening</t>
  </si>
  <si>
    <t>9 deuren</t>
  </si>
  <si>
    <t>8 radiatoren</t>
  </si>
  <si>
    <t>Schoonmaken na uitvoering werkzaamheden</t>
  </si>
  <si>
    <t xml:space="preserve">Slopen en afvoer CV ketel </t>
  </si>
  <si>
    <t xml:space="preserve"> </t>
  </si>
  <si>
    <t>Aanpassen badkamer tw vloer- en wandtegels, douchecabine, aanpassen afvoeren, leidingwerk etc,</t>
  </si>
  <si>
    <t>15 euro per m2 neem aan 100 m2</t>
  </si>
  <si>
    <t>nvt</t>
  </si>
  <si>
    <t>6500 tot 19500euro kosten</t>
  </si>
  <si>
    <t>16 panelen 5200Wp opbasis van eigenhuis opgave</t>
  </si>
  <si>
    <t>60 euro per m2</t>
  </si>
  <si>
    <t>Aanpassen/inkorten/vervangen  kasten</t>
  </si>
  <si>
    <t>Bij aanleg vloerverwarming  verplaatsing waterleidingen ivm legionella</t>
  </si>
  <si>
    <t>Adviseurskosten, begeleiding en nacontrole</t>
  </si>
  <si>
    <t>Onvoorzien 10%</t>
  </si>
  <si>
    <t>Totaal raming</t>
  </si>
  <si>
    <t>Is in onze situatie al uitgevoerd</t>
  </si>
  <si>
    <t>Aanpassen traplift</t>
  </si>
  <si>
    <t>Uitruimen en weer inruimen woning (verhuisbedrijf)</t>
  </si>
  <si>
    <t xml:space="preserve">Tijdelijke opslag meubels ivm verbouwing </t>
  </si>
  <si>
    <t>Tijdelijke huisvesting bij grote verbouwing</t>
  </si>
  <si>
    <t xml:space="preserve">Afkoop van CV huur </t>
  </si>
  <si>
    <t>Schilderen bestaande woning aan de binnenzijde na uitvoering</t>
  </si>
  <si>
    <t>Aanschaf en installatie warmtepomp en buffervat</t>
  </si>
  <si>
    <t>Aanschaf en installatie warm water boiler (denk ook aan 2 warmwater gebruikers tegelijkertijd) levensduur aanname 15jaar</t>
  </si>
  <si>
    <t xml:space="preserve">Slopen en afvoer bestaande vloeren € 30,00 x 75m2 =€2225 + afvoeren in container € 116,00 is totaal </t>
  </si>
  <si>
    <t>zie overige radiatoren</t>
  </si>
  <si>
    <t>Begane grond</t>
  </si>
  <si>
    <t>m2</t>
  </si>
  <si>
    <t>Verdieping</t>
  </si>
  <si>
    <t>2e verdieping</t>
  </si>
  <si>
    <t>Totaal</t>
  </si>
  <si>
    <t>BVO (Bruto vloeroppervlak) volgens NEN 2580</t>
  </si>
  <si>
    <t>De kosten voor het aanpassen aan de keuken waren € 4350,00</t>
  </si>
  <si>
    <t>Bij verwijderen dekvloer voor vloerverwarming worden vaak stroom en datakabels geraakt en doorgesneden. Die moeten allemaal worden gerepareerd</t>
  </si>
  <si>
    <t>Totale kosten verbouwing naar gasloos op basis van 1-malige kosten</t>
  </si>
  <si>
    <t xml:space="preserve">Uitgangspunten Model Woning: </t>
  </si>
  <si>
    <t xml:space="preserve">Ombouw Kosten van Model Woning: </t>
  </si>
  <si>
    <t>Vaste Investeringskosten:</t>
  </si>
  <si>
    <t>/ m2     { totaal m2 boven en onder }</t>
  </si>
  <si>
    <t>Slopen en afvoer huidige CV ketel:</t>
  </si>
  <si>
    <t>Subsidie:</t>
  </si>
  <si>
    <t>Verzwaren electriciteits aansluiting:</t>
  </si>
  <si>
    <t>Investeringskosten afhankelijk van de grootte van de woning:</t>
  </si>
  <si>
    <t>Investeringskosten wel of niet:</t>
  </si>
  <si>
    <t>Aanpassen meterkast:</t>
  </si>
  <si>
    <t>Wanneer ?</t>
  </si>
  <si>
    <t>Aanschaf Warmte Pomp + Buffervat:</t>
  </si>
  <si>
    <t>Referentie gegevens van Model Woning</t>
  </si>
  <si>
    <t xml:space="preserve">Bouwjaar van de woning: </t>
  </si>
  <si>
    <t>Voor 1990</t>
  </si>
  <si>
    <t>1990 tot 2000</t>
  </si>
  <si>
    <t>2001 tot 2012</t>
  </si>
  <si>
    <t>Keuzes:</t>
  </si>
  <si>
    <t>Consequenties:</t>
  </si>
  <si>
    <t>Na 2012</t>
  </si>
  <si>
    <t>Bij de bouw goed geïsoleerd.   
Meestal wel geschikt voor laag temperatuur verwarmingssysteem.</t>
  </si>
  <si>
    <t>Grootte van de woning:</t>
  </si>
  <si>
    <t>Aantal verdiepingen dat verwarmd moet worden:</t>
  </si>
  <si>
    <t>Consequentie:</t>
  </si>
  <si>
    <t xml:space="preserve">Hulp gegevens: </t>
  </si>
  <si>
    <t>Meer dan 3</t>
  </si>
  <si>
    <t xml:space="preserve">De begane grond en de eerste verdieping moeten worden verwarmd. </t>
  </si>
  <si>
    <t>Woning Type:</t>
  </si>
  <si>
    <t>Appartement</t>
  </si>
  <si>
    <t>Rijtjes huis.</t>
  </si>
  <si>
    <t>Twee onder één kap</t>
  </si>
  <si>
    <t>Vrijstaand huis</t>
  </si>
  <si>
    <t>Warmte verlies mogelijk via voorgevel en achtergevel.</t>
  </si>
  <si>
    <t xml:space="preserve">Warmte verlies mogelijk via voorgevel, achtergevel, één zij gevel, dak en vloer. </t>
  </si>
  <si>
    <t xml:space="preserve">Warmte verlies mogelijk via alle gevels dak en vloer. </t>
  </si>
  <si>
    <t>Warmte verlies mogelijk via voorgevel en achtergevel, dak en vloer.</t>
  </si>
  <si>
    <t>Bij de bouw redelijk goed geïsoleerd. 
Normaal gesproken nog niet geschikt voor laag temperatuur verwarmingssysteem.</t>
  </si>
  <si>
    <t>Bij de bouw niet goed geïsoleerd. 
Normaal gesproken niet geschikt voor laag temperatuur verwarmingssysteem.</t>
  </si>
  <si>
    <t>Bij de bouw goed geïsoleerd.   
Normaal gesproken nog niet geschikt voor laag temperatuur verwarmingssysteem.</t>
  </si>
  <si>
    <t xml:space="preserve">Aantal verdiepingen die moeten worden verwarmd: </t>
  </si>
  <si>
    <t>Slopen en afvoer bestaande vloeren:</t>
  </si>
  <si>
    <t>afvoer</t>
  </si>
  <si>
    <t>,-</t>
  </si>
  <si>
    <t>/ m2</t>
  </si>
  <si>
    <t>Ga uit van:</t>
  </si>
  <si>
    <t>deuren</t>
  </si>
  <si>
    <t xml:space="preserve"> per </t>
  </si>
  <si>
    <t>afhankelijk van huistype</t>
  </si>
  <si>
    <t>0 = Nee
1 = Ja</t>
  </si>
  <si>
    <t>Aantal verdiepingen modelwoning:</t>
  </si>
  <si>
    <t>Verdiepingen</t>
  </si>
  <si>
    <t xml:space="preserve">Als warmte overdrachtsysteem moet worden aangepast: 
Hoe wilt u dan gaan verwarmen ? </t>
  </si>
  <si>
    <t>verdiepingen Vloerverwarming</t>
  </si>
  <si>
    <t>Keuze Vraag:</t>
  </si>
  <si>
    <t>Keuzevraag:</t>
  </si>
  <si>
    <t xml:space="preserve">Installatie laag temperatuur radiatoren.    We gaan er van uit dat dit niet hoeft bij woningen van na 2012.  </t>
  </si>
  <si>
    <t xml:space="preserve">Woningen met een vaste trap naar zolder.  De zolder is in gebruik als leefruimte of als slaapkamer.
De begane grond, de eerste verdieping en de tweede verdieping moeten worden verwarmd. </t>
  </si>
  <si>
    <t xml:space="preserve">Waar moet de installatie worden geplaast ? </t>
  </si>
  <si>
    <t>Consequentie</t>
  </si>
  <si>
    <t>Schatting</t>
  </si>
  <si>
    <t>Ruwe schatting.   Te beoordelen door bouwkundige</t>
  </si>
  <si>
    <t xml:space="preserve">Kosten voor: </t>
  </si>
  <si>
    <t>Geen extra kosten</t>
  </si>
  <si>
    <t>Plaatsing hokje buiten</t>
  </si>
  <si>
    <t>Badkamer:</t>
  </si>
  <si>
    <t xml:space="preserve">Buiten.  In een hokje op de begane grond. </t>
  </si>
  <si>
    <t>Keuken:</t>
  </si>
  <si>
    <t xml:space="preserve">Hoe kookt u nu ? </t>
  </si>
  <si>
    <t xml:space="preserve">Ik kook nu op gas. </t>
  </si>
  <si>
    <t xml:space="preserve">Ik kook al electrisch ( Inductie ) </t>
  </si>
  <si>
    <t xml:space="preserve">Ik kook al electrisch ( Ouderwetse Kookplaat ) </t>
  </si>
  <si>
    <t xml:space="preserve">Huidige inductie kookplaat en pannen kunnen worden gebruikt. 
Maar:  Als er een vloerverwarming in de keuken komt, dan moet de keuken waarschijnlijk ook worden vervangen. </t>
  </si>
  <si>
    <t xml:space="preserve">Inschatting als dat nog moet gebeuren: </t>
  </si>
  <si>
    <t>Eigen schatting</t>
  </si>
  <si>
    <t>Aanpassing groep nodig:</t>
  </si>
  <si>
    <t xml:space="preserve">Aanpassing kooktoestel en pannen nodig: </t>
  </si>
  <si>
    <t>Zie overzicht op hulpblad</t>
  </si>
  <si>
    <t>,-  Schatting</t>
  </si>
  <si>
    <t>Afvoeren huidige kooktoestel nodig:</t>
  </si>
  <si>
    <t>Slopen en afvoeren huidige fornuis</t>
  </si>
  <si>
    <t>Aanschaf en installatie elektrische inductie fornuis:</t>
  </si>
  <si>
    <t xml:space="preserve">,-   Schatting </t>
  </si>
  <si>
    <t>±</t>
  </si>
  <si>
    <t xml:space="preserve">Consequentie 1: </t>
  </si>
  <si>
    <t>Wat wilt u met de badkamer ?</t>
  </si>
  <si>
    <t>Badkamer uitrusten met vloerverwarming</t>
  </si>
  <si>
    <t>Badkamer uitrusten met radiator.</t>
  </si>
  <si>
    <t xml:space="preserve">Badkamer moet verbouwd worden. </t>
  </si>
  <si>
    <t xml:space="preserve">Alleen de radiator hoeft te worden vervangen. </t>
  </si>
  <si>
    <t>Aanpassen badkamer radiator:</t>
  </si>
  <si>
    <t>Badkamer radiator met stopcontact en alles.</t>
  </si>
  <si>
    <t>Kosten voor de Warmte Pomp:</t>
  </si>
  <si>
    <t xml:space="preserve">Invullen van gegevens:      ( De groene cellen zijn keuze cellen, de gele cellen zijn invulcellen ) </t>
  </si>
  <si>
    <t xml:space="preserve">Waar moet de warmte pomp en de 
installatie worden geplaatst ? </t>
  </si>
  <si>
    <t>Overige Kosten:</t>
  </si>
  <si>
    <t>Inschatting kosten van Badkamer:</t>
  </si>
  <si>
    <t>Inschatting Factor hoger of lager voor overige kosten:</t>
  </si>
  <si>
    <t xml:space="preserve">Schilderen bestaande woning aan de binnenzijde na uitvoering.  </t>
  </si>
  <si>
    <t xml:space="preserve">De woning is van na 2012:      Het verwarmingssysteem hoeft niet te worden aangepast.     
Bij woningen van na 2012 hoeft het verwarmingssysteem meestal niet te worden aangepast. </t>
  </si>
  <si>
    <t xml:space="preserve">Er is voldoende ruimte vrij.    
En er hoeven geen aanpassingen te worden gedaan. </t>
  </si>
  <si>
    <t xml:space="preserve">Is er een aanpassing van het
warmte overdrachtsysteem nodig ? </t>
  </si>
  <si>
    <t>p.m.</t>
  </si>
  <si>
    <t xml:space="preserve">Kosten extra isolatie woning. </t>
  </si>
  <si>
    <t>Onvoorzien:</t>
  </si>
  <si>
    <r>
      <t xml:space="preserve">%        </t>
    </r>
    <r>
      <rPr>
        <sz val="11"/>
        <color theme="1"/>
        <rFont val="Arial"/>
        <family val="2"/>
      </rPr>
      <t xml:space="preserve"> ( 10% onvoorzien is normaal voor dit soort projecten )</t>
    </r>
  </si>
  <si>
    <t>Totale kosten raming:</t>
  </si>
  <si>
    <t xml:space="preserve">Inschatting kosten pannenset  
( Schatting van echtgenootte) </t>
  </si>
  <si>
    <t xml:space="preserve">Bijvoorbeeld bij een bungalow of appartement.
In deze woning hoeft maar één verdieping te worden verwarmd. </t>
  </si>
  <si>
    <t>Het gaat hier om de kamers en de keuken. 
Hoe u de badkamer wilt verwarmen, wordt hieronder gevraagd.</t>
  </si>
  <si>
    <t>Aanpassen badkamer t.b.v. vloer- en wandtegels, douchecabine, aanpassen afvoeren, leidingwerk enz.</t>
  </si>
  <si>
    <r>
      <t xml:space="preserve">Aanschaf en installatie warm water boiler </t>
    </r>
    <r>
      <rPr>
        <sz val="11"/>
        <color theme="1"/>
        <rFont val="Arial"/>
        <family val="2"/>
      </rPr>
      <t>(denk ook aan 2 warmwater gebruikers tegelijkertijd) levensduur aanname 15 jaar</t>
    </r>
  </si>
  <si>
    <t>Wat wilt u met de keuken ?</t>
  </si>
  <si>
    <t>Bestaande keuken aanhouden en keukenblok laten verhogen</t>
  </si>
  <si>
    <t>Keuken vervangen</t>
  </si>
  <si>
    <t>Consequentie 2:   MISSCHIEN 
Vervangen keuken.</t>
  </si>
  <si>
    <t xml:space="preserve">Vervolg vraag nodig: </t>
  </si>
  <si>
    <t>Opmerking over keuken</t>
  </si>
  <si>
    <t xml:space="preserve">  </t>
  </si>
  <si>
    <r>
      <t xml:space="preserve">Wat wilt u verder met de keuken ? 
</t>
    </r>
    <r>
      <rPr>
        <sz val="11"/>
        <rFont val="Arial"/>
        <family val="2"/>
      </rPr>
      <t xml:space="preserve">Als er vloerverwarming moet komen, moet de keuken worden verhoogd. 
In de meeste gevallen wordt er dan voor een nieuwe keuken gekozen. </t>
    </r>
  </si>
  <si>
    <t xml:space="preserve">Inschatting kosten van VERVANGEN keuken: </t>
  </si>
  <si>
    <t xml:space="preserve">Inschatting kosten van VERHOGEN keuken: </t>
  </si>
  <si>
    <t>Vervangen keuken</t>
  </si>
  <si>
    <t>Verhogen keuken</t>
  </si>
  <si>
    <r>
      <t xml:space="preserve">Vervangen van de keuken ?                                        STELPOST
      </t>
    </r>
    <r>
      <rPr>
        <sz val="11"/>
        <color theme="1"/>
        <rFont val="Arial"/>
        <family val="2"/>
      </rPr>
      <t>Als de vloer op de begane grond wordt verhoogd voor de vloerverwarming
      en er wordt gekozen om de keuken helemaal te vervangen.</t>
    </r>
  </si>
  <si>
    <r>
      <t xml:space="preserve">Verhogen van de keuken ?                                        STELPOST
      </t>
    </r>
    <r>
      <rPr>
        <sz val="11"/>
        <color theme="1"/>
        <rFont val="Arial"/>
        <family val="2"/>
      </rPr>
      <t>Als de vloer op de begane grond wordt verhoogd voor de vloerverwarming
      en er wordt gekozen om de bestaande keuken niet te vervangen, maar deze 
      alleen  te verhogen.</t>
    </r>
  </si>
  <si>
    <t xml:space="preserve">Hulp Cel voor zichtbaar maken van tekst bij vervolgvraag over keuken: </t>
  </si>
  <si>
    <t>Inschatting aanpassing van keuken:</t>
  </si>
  <si>
    <t>MOGELIJK 
Vervangen Badkamer</t>
  </si>
  <si>
    <t>MOGELIJK 
Plaatsen Radiator  Badkamer</t>
  </si>
  <si>
    <t>Hulp Cel voor zichtbaar maken van tekst bij vervolgvraag over keuze verwarmingssysteem</t>
  </si>
  <si>
    <t xml:space="preserve">Als deze waarde NUL is, dan hoeft de tekst over keuzesverwarmingssysteem en badkamer niet zichtbaar te zijn. </t>
  </si>
  <si>
    <t>De vloer begane grond moet worden verhoogd.   De keuken moet dan ook worden verhoogd, of vervangen.</t>
  </si>
  <si>
    <t>Eerste verdieping:</t>
  </si>
  <si>
    <t xml:space="preserve">Begane grond: </t>
  </si>
  <si>
    <t xml:space="preserve">Tweede verdieping: </t>
  </si>
  <si>
    <t xml:space="preserve">Deze keuze moet altijd zichtbaar zijn. </t>
  </si>
  <si>
    <t xml:space="preserve">Als deze waarde  1 is, dan moet deze keuze zichtbaar zijn.   Als deze waarde 0 is, dan moet deze keuze niet zichtbaar zijn.Deze keuze moet altijd zichtbaar zijn. </t>
  </si>
  <si>
    <t>Vervolgvragen over oppervlaktes per woonlaag</t>
  </si>
  <si>
    <t xml:space="preserve">Aantal vierkante meters waar vloerverwarming moet worden aangelegd: </t>
  </si>
  <si>
    <t>Aantal vierkante meters waarvoor de radiatoren moeten worden aangepast:</t>
  </si>
  <si>
    <t>Hier wordt geen rekening gehouden met de badkamer</t>
  </si>
  <si>
    <t>Totaal oppervlak van de woning dat moet worden verwarmd:</t>
  </si>
  <si>
    <t>Vierkante meters verwarmen met speciale radiatoren
( Badkamer verwaarloosd )</t>
  </si>
  <si>
    <t>Vierkante meters verwarmen met vloerverwarming
( Badkamer verwaarloosd )</t>
  </si>
  <si>
    <t>deuren / woonlaag</t>
  </si>
  <si>
    <t>per m2 vloerverwarming</t>
  </si>
  <si>
    <t>Uitgangspunten modelwoning:</t>
  </si>
  <si>
    <t>Kosten extra vloerverwarming voor Warmte Pomp.     We gaan er van uit dat dit niet hoeft bij woningen van na 2012</t>
  </si>
  <si>
    <t>per m2 laag temperatuur verwarming</t>
  </si>
  <si>
    <t>Aantal woonlagen waar vloerverwarming moet worden aangelegd:</t>
  </si>
  <si>
    <t>Aantal woonlagen waar radiatoren moeten worden aangepast:</t>
  </si>
  <si>
    <t>woonlagen.</t>
  </si>
  <si>
    <t>Referentie Oppervlak Totaal:</t>
  </si>
  <si>
    <t>Referentie Oppervlak Vloerverwarming:</t>
  </si>
  <si>
    <t>Begane grond:       Vloerverwarming + aangepaste radiatoren</t>
  </si>
  <si>
    <t>Eerste verdieping:       Vloerverwarming + aangepaste radiatoren</t>
  </si>
  <si>
    <t>Tweede verdieping:        Aangepaste radiatoren</t>
  </si>
  <si>
    <t>Alle verdiepingen met alleen maar speciale radiatoren, geschikt voor warmte pomp.</t>
  </si>
  <si>
    <t>Referentie Oppervlak alleen LT Radiatoren:</t>
  </si>
  <si>
    <t>Elektr. Leiding naar warmte pomp:</t>
  </si>
  <si>
    <t>Herstellen stroomkabels en datakabels.  ( Die worden met het aanleggen van vloerverwarming vaak doorgesneden )</t>
  </si>
  <si>
    <t xml:space="preserve">Alle verdiepingen met speciale vloer verwarming en bestaande radiatoren. </t>
  </si>
  <si>
    <t>Benedenverdieping met speciale vloerverwarming en bestaande radiatoren. 
De andere verdiepingen met speciale radiatoren geschikt voor warmte pomp.</t>
  </si>
  <si>
    <t>Nog een consequentie:</t>
  </si>
  <si>
    <t xml:space="preserve">Als de woning nog niet opnieuw geïsoleerd is, dan zal deze mogelijk ook extra geïsoleerd moeten worden.   
Deze mogelijke extra kosten kunnen niet worden berekend met deze sheet.  Laat hiervoor een offerte opstellen door een deskundige aannemer. </t>
  </si>
  <si>
    <t xml:space="preserve">    </t>
  </si>
  <si>
    <t xml:space="preserve">Als de woning in de loop der tijd nog niet opnieuw geïsoleerd is, dan zal deze eerst extra geïsoleerd moeten worden.   Deze extra kosten kunnen niet worden berekend met deze sheet.  Laat hiervoor een offerte opstellen door een deskundige aannemer. </t>
  </si>
  <si>
    <t>0 = Vervolgvraag over Badkamer niet zichtbaar maken.
1 = Vervolgvraag over badkamer blijft zichtbaar</t>
  </si>
  <si>
    <t xml:space="preserve">Hulp Cel voor zichtbaar maken van tekst bij vervolgvraag over Badkamer: </t>
  </si>
  <si>
    <t xml:space="preserve">In deze berekening worden de eventuele kosten van extra isolatie niet meegenomen.   
Als er extra isolatie nodig is, dan kunnen deze eventuele extra kosten alleen maar ter plekke door een deskundige worden bepaald. </t>
  </si>
  <si>
    <t>In deze berekening wordt geen rekening gehouden met de eventuele aanschaf van zonnepanelen.
Er wordt hier van uitgegaan dat er alleen maar overgegaan wordt van aardgas naar een All-Electric-Warmtepomp.   De eventuele aanschaf van zonnepanelen is een afzonderlijk verhaal.</t>
  </si>
  <si>
    <r>
      <t xml:space="preserve">m2  </t>
    </r>
    <r>
      <rPr>
        <sz val="11"/>
        <color theme="1"/>
        <rFont val="Arial"/>
        <family val="2"/>
      </rPr>
      <t xml:space="preserve">( Oppervlak per woonlaag.   Of het oppervlak van het appartement ) </t>
    </r>
  </si>
  <si>
    <r>
      <t>m2</t>
    </r>
    <r>
      <rPr>
        <sz val="11"/>
        <color theme="1"/>
        <rFont val="Arial"/>
        <family val="2"/>
      </rPr>
      <t xml:space="preserve">  ( Oppervlak per woonlaag ) </t>
    </r>
  </si>
  <si>
    <r>
      <t xml:space="preserve">m2  </t>
    </r>
    <r>
      <rPr>
        <sz val="11"/>
        <color theme="1"/>
        <rFont val="Arial"/>
        <family val="2"/>
      </rPr>
      <t xml:space="preserve">( Oppervlak per woonlaag ) </t>
    </r>
  </si>
  <si>
    <t>0 = Opmerking zwarte tekst.
1 = Opmerking in dikke rode tekst</t>
  </si>
  <si>
    <t xml:space="preserve">Deze sheet kan niet goed inschatten wat de ombouwkosten zullen zijn.
Laat een offerte maken door een aannemer. </t>
  </si>
  <si>
    <t>Kleur van de tekst met consequenties.</t>
  </si>
  <si>
    <t>Als deze waarde NUL is, dan blijft de tekst gewoon zwart.  Als deze waarde 1 is dan weergeven in rood.</t>
  </si>
  <si>
    <t>Hulp Cel voor kleur van tekst bij consequentie aantal verdiepingen:</t>
  </si>
  <si>
    <t>In een apart hokje op een verdieping.</t>
  </si>
  <si>
    <t>Maken van een afscheidingswandje.   6m2</t>
  </si>
  <si>
    <t>verdiepingen met LT radiatoren</t>
  </si>
  <si>
    <t>Alle verdiepingen met speciale vloer verwarming en radiatoren vervangen door speciale radiatoren.
Meeste comfort op alle verdiepingen.</t>
  </si>
  <si>
    <t>Benedenverdieping met speciale vloerverwarming en radiatoren vervangen door speciale radiatoren. 
De andere verdiepingen met speciale radiatoren geschikt voor warmte pomp.
Meeste comfort op benedenverdieping.   Normaal comfort op de andere verdiepingen.</t>
  </si>
  <si>
    <t xml:space="preserve">Elektrische CV ketel.    </t>
  </si>
  <si>
    <t>Waterstof CV ketel.</t>
  </si>
  <si>
    <t>Wat voor verwarming wilt u ?</t>
  </si>
  <si>
    <t>Opmerking over keuze warmte overdracht systeem</t>
  </si>
  <si>
    <t>Hulp Cel voor zichtbaar maken van tekst bij vervolgvraag over keuze warmte overdracht systeem</t>
  </si>
  <si>
    <t>Elektrische Warmte Pomp</t>
  </si>
  <si>
    <t>Consequentie 2</t>
  </si>
  <si>
    <t xml:space="preserve">Mogelijk moet het hele warmte overdrachtsysteem worden aangepast.   Dat is een grote ombouw van het hele huis. </t>
  </si>
  <si>
    <t xml:space="preserve">De ombouw blijft beperkt tot het plaatsen van ( grote) ketel. </t>
  </si>
  <si>
    <t xml:space="preserve">De ombouw is alleen maar het omwisselen van de ketel. </t>
  </si>
  <si>
    <r>
      <t xml:space="preserve">Hoe wilt u de warmte overbrengen van de ketel naar de woning ? 
</t>
    </r>
    <r>
      <rPr>
        <b/>
        <sz val="9"/>
        <color theme="1"/>
        <rFont val="Arial"/>
        <family val="2"/>
      </rPr>
      <t xml:space="preserve">Dit is niet van belang bij woningen na 2012
Als uw woning is gebouwd in 2012 of later, kunt u de optie kiezen, dat het verwarmingssysteem niet hoeft te worden aangepast. </t>
    </r>
  </si>
  <si>
    <t xml:space="preserve">Wat voor verwarmingssysteem gaat het worden in plaats van de huidge CV ketel ? </t>
  </si>
  <si>
    <t>Inductieve Elektrische CV Ketel</t>
  </si>
  <si>
    <t xml:space="preserve">Als deze waarde NUL is, dan hoeven de teksten en vervolgvragen over keuzesverwarmingssysteem en badkamer niet zichtbaar te zijn. </t>
  </si>
  <si>
    <t>Keuze:</t>
  </si>
  <si>
    <t>In de sheet met energie kosten is te berekenen wat deze keuze betekent voor de maandelijkse kosten.</t>
  </si>
  <si>
    <t>Factor tekst vervolgvragen</t>
  </si>
  <si>
    <t>Factor tekst energiekosten</t>
  </si>
  <si>
    <t xml:space="preserve">Als deze waarde NUL is, dan hoeft de tekst over energiekosten NIET zichtbaar te zijn. </t>
  </si>
  <si>
    <t>Verzwaren leiding net nodig ? 
1 = ja
0 = nee</t>
  </si>
  <si>
    <t>Aanpassen warmte overdrachtsysteem  nodig ? 
1 = mogelijk
0 = nee</t>
  </si>
  <si>
    <t xml:space="preserve">Hulp Cel voor zichtbaar maken van tekst bij vervolgvraag overmogelijkheid berekenen energie kosten.
Voor H2 ketels hebben we nog geen idee wat de energiekosten gaan worden. </t>
  </si>
  <si>
    <t xml:space="preserve">Inschatting ombouw kosten: </t>
  </si>
  <si>
    <t>De ombouwkosten worden berekend aan de hand van de volgende vragen.</t>
  </si>
  <si>
    <t xml:space="preserve">De ombouw blijft beperkt tot het plaatsen van de ketel en het boilervat. </t>
  </si>
  <si>
    <t>Inschatting ombouwkosten:  ± € 1.500   …    €  2.000,-
Plus de kosten voor verzwaring elektriciteits aansluiting.</t>
  </si>
  <si>
    <t>Inschatting ombouwkosten:  ± € 2.000   ….   € 3.000</t>
  </si>
  <si>
    <t xml:space="preserve">Hulp gegevens:  </t>
  </si>
  <si>
    <t>- Kleiner huis:     ±   50 … 75   m2 per woonlaag</t>
  </si>
  <si>
    <t>- Groter huis:      ±    75 ….  125 m2 per woonlaag</t>
  </si>
  <si>
    <t xml:space="preserve">- Heel groot huis:  meer dan 125 m2 per woonlaag.    </t>
  </si>
  <si>
    <t xml:space="preserve">                  De sheet is hier eigenlijk niet goed geschikt voor.  </t>
  </si>
  <si>
    <t>Inschatting Ombouwkosten van Verwarming met Gas naar 
"Klimaat Neutraal" Verwarmingssysteem.</t>
  </si>
  <si>
    <t xml:space="preserve">De hier genoemde kosten, zijn een schatting van de ombouwkosten bij ombouw van een gasgestookte verwarming naar een " "Klimaat Neutraal" Verwarmingssysteem
Om  een exacte kostenberekening te maken, moet er een offerte worden opgesteld door een aannemer en installateur. </t>
  </si>
  <si>
    <t>Overzicht Inschatting Kosten voor Ombouw van Gas naar een Elektrische ( Lucht) Warmte Pomp:</t>
  </si>
  <si>
    <t>Het effect van een warmte pomp op de maandelijkse energierekening is te bepalen met de sheet over energiekosten op de site https://duurzaamkloosterveen.nl/kosten-warmtepomp/</t>
  </si>
  <si>
    <t xml:space="preserve">Hoeveel badkamers heeft u ? </t>
  </si>
  <si>
    <t xml:space="preserve">Investeren in een inductie kookplaat en nieuwe pannenset.    
Of:  Investeren in een elektrische kookplaat, dan zijn er geen nieuwe pannen nodig, maar die reageren heel traag en dat kookt niet prettig. 
Let op:  een inductie kookplaat is niet geschikt voor mensen met een pacemaker. </t>
  </si>
  <si>
    <t>Inschatting aanpassing van badkamer(s):</t>
  </si>
  <si>
    <t xml:space="preserve">De installatie moet op zolder.   
En:  de zolder constructie moet daarvoor misschien worden aangepast. </t>
  </si>
  <si>
    <t xml:space="preserve">Een bouwkundige moet de noodzaak en de eventuele kosten voor de aanpassing van de dak en de zolder constructie bepalen. </t>
  </si>
  <si>
    <t xml:space="preserve">De warmtepomp installatie moet op het dak en de boiler moet op zolder.   
En de dak en zolder constructies moeten daarvoor misschien worden aangepast. </t>
  </si>
  <si>
    <t xml:space="preserve">Een bouwkundige moet de noodzaak en de eventuele kosten voor de aanpassing van de zolder constructie bepalen. </t>
  </si>
  <si>
    <t xml:space="preserve">Verwarming met elektriciteit in plaats van gas.  Rendement bijna 95%     De elektriciteitsrekening gaat fors omhoog.    
De elektriciteitsaansluiting moet waarschijnlijk worden verzwaard. 
Deze ketels zijn groter dan een normale ketel.  
Er is meestal geen boilervat nodig.   Er is dus meestal geen constante boilerverwarming nodig. 
Neemt veel extra ruimte in.  Ongeveer het formaat van een Amerikaanse koelkast. </t>
  </si>
  <si>
    <t>Verwarming met elektriciteit in plaats van gas.  Rendement bijna 100%     De elektriciteitsrekening gaat fors omhoog.    
De elektriciteitsaansluiting moet waarschijnlijk worden verzwaard. 
Er is meestal ook een boilervat nodig.   Dat moet continue warm worden gehouden kost nog eens extra stroom.
Deze ketels zijn iets groter dan een normale ketel.</t>
  </si>
  <si>
    <t xml:space="preserve">Deze oplossing wordt door de gemeente voorgesteld. 
Verwarming met elektriciteit in plaats van gas.
Rendement ± 250 %
Er is meestal ook een boilervat nodig.   Dat moet continue warm worden gehouden kost nog eens extra stroom.
Neemt veel ruimte in.   Ongeveer dubbel zo groot als een grote Amerikaanse koelkast.
</t>
  </si>
  <si>
    <t>Ga uit van minimaal 1 badkamer en maximaal 3 badkamers.</t>
  </si>
  <si>
    <t xml:space="preserve">Een gewone kookplaat reageert erg traag en dat kookt niet prettig en gebruikt meer energie.      Als u op een gewone kookplaat blijft koken wordt het elektriciteitsverbruik waarschijnlijk veel te hoog. Overweeg daarom om te investeren in een inductie kookplaat en nieuwe pannenset.   </t>
  </si>
  <si>
    <r>
      <t xml:space="preserve">Inkorten deuren:     </t>
    </r>
    <r>
      <rPr>
        <sz val="11"/>
        <color theme="1"/>
        <rFont val="Arial"/>
        <family val="2"/>
      </rPr>
      <t xml:space="preserve">( Let op:  brandwerende deuren kunnen niet zomaar worden ingekort) </t>
    </r>
  </si>
  <si>
    <t>Aanschaf en Aanleg vloerverwarming (inclusief cement vloer):</t>
  </si>
  <si>
    <t>Aanschaf en Aanleg nieuwe vloer (parket/tegels/pvc etc):</t>
  </si>
  <si>
    <t>Aanpassen/inkorten/vervangen  kasten:</t>
  </si>
  <si>
    <t>Bij aanleg vloerverwarming  verplaatsing waterleidingen ivm legionella:</t>
  </si>
  <si>
    <t>Slopen en afvoer van bestaande hoog temperatuur radiatoren:</t>
  </si>
  <si>
    <t>Aanschaf en installatie laag temperatuur radiatoren:</t>
  </si>
  <si>
    <t>Aanleg stopcontact bij radiatoren tbv ventilator:</t>
  </si>
  <si>
    <t>Herstellen muren (stucen) na infrezen nieuwe stopcontacten en kabels:</t>
  </si>
  <si>
    <t>Vrijmaken muren als meer radiator oppervlakte nodig is:</t>
  </si>
  <si>
    <t>Maken van een afscheidingswandje.   6m3</t>
  </si>
  <si>
    <t>Aanpassing zolder constructie.</t>
  </si>
  <si>
    <t>Aanpassing dak- en zolder-constructie.</t>
  </si>
  <si>
    <t xml:space="preserve">Verwarming door het verbranden van waterstof in plaats van gas. 
Voor waterstof zouden de bestaande gas leidingen kunnen worden gebruikt. 
Er is geen boilervat nodig. 
Er is helaas nog geen waterstof beschikbaar.
Er is ook nog niks bekend over de maandelijkse kosten van waterstof. </t>
  </si>
  <si>
    <t>Inschatting Ombouwkosten: ± € 10.000,-  
Plus de kosten voor verzwaring elektriciteits aansluiting.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</si>
</sst>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8" formatCode="&quot;€&quot;\ #,##0.00;[Red]&quot;€&quot;\ \-#,##0.00"/>
    <numFmt numFmtId="164" formatCode="&quot;€&quot;\ #,##0.00"/>
    <numFmt numFmtId="165" formatCode="&quot;€&quot;\ #,##0"/>
  </numFmts>
  <fonts count="35" x14ac:knownFonts="1">
    <font>
      <sz val="11"/>
      <color theme="1"/>
      <name val="Calibri"/>
      <family val="2"/>
      <scheme val="minor"/>
    </font>
    <font>
      <b/>
      <sz val="11"/>
      <color theme="1"/>
      <name val="Arial"/>
      <family val="2"/>
    </font>
    <font>
      <sz val="11"/>
      <color theme="1"/>
      <name val="Arial"/>
      <family val="2"/>
    </font>
    <font>
      <b/>
      <u/>
      <sz val="11"/>
      <color theme="1"/>
      <name val="Arial"/>
      <family val="2"/>
    </font>
    <font>
      <i/>
      <sz val="11"/>
      <color theme="1"/>
      <name val="Arial"/>
      <family val="2"/>
    </font>
    <font>
      <b/>
      <sz val="11"/>
      <color theme="1"/>
      <name val="Calibri"/>
      <family val="2"/>
      <scheme val="minor"/>
    </font>
    <font>
      <b/>
      <sz val="48"/>
      <color theme="1"/>
      <name val="Calibri"/>
      <family val="2"/>
      <scheme val="minor"/>
    </font>
    <font>
      <sz val="8"/>
      <name val="Calibri"/>
      <family val="2"/>
      <scheme val="minor"/>
    </font>
    <font>
      <b/>
      <sz val="22"/>
      <color theme="1"/>
      <name val="Calibri"/>
      <family val="2"/>
      <scheme val="minor"/>
    </font>
    <font>
      <b/>
      <sz val="12"/>
      <color theme="1"/>
      <name val="Arial"/>
      <family val="2"/>
    </font>
    <font>
      <b/>
      <sz val="22"/>
      <color theme="1"/>
      <name val="Arial"/>
      <family val="2"/>
    </font>
    <font>
      <b/>
      <sz val="14"/>
      <color theme="1"/>
      <name val="Arial"/>
      <family val="2"/>
    </font>
    <font>
      <b/>
      <sz val="26"/>
      <color theme="1"/>
      <name val="Arial"/>
      <family val="2"/>
    </font>
    <font>
      <sz val="11"/>
      <color theme="4"/>
      <name val="Arial"/>
      <family val="2"/>
    </font>
    <font>
      <b/>
      <sz val="11"/>
      <color theme="4"/>
      <name val="Arial"/>
      <family val="2"/>
    </font>
    <font>
      <b/>
      <i/>
      <sz val="10"/>
      <color theme="4"/>
      <name val="Arial"/>
      <family val="2"/>
    </font>
    <font>
      <b/>
      <sz val="16"/>
      <color theme="1"/>
      <name val="Arial"/>
      <family val="2"/>
    </font>
    <font>
      <b/>
      <i/>
      <sz val="11"/>
      <color theme="1"/>
      <name val="Arial"/>
      <family val="2"/>
    </font>
    <font>
      <b/>
      <sz val="10"/>
      <color theme="4"/>
      <name val="Arial"/>
      <family val="2"/>
    </font>
    <font>
      <b/>
      <sz val="9"/>
      <color theme="1"/>
      <name val="Arial"/>
      <family val="2"/>
    </font>
    <font>
      <b/>
      <sz val="11"/>
      <name val="Arial"/>
      <family val="2"/>
    </font>
    <font>
      <sz val="11"/>
      <name val="Arial"/>
      <family val="2"/>
    </font>
    <font>
      <b/>
      <sz val="14"/>
      <color theme="4"/>
      <name val="Arial"/>
      <family val="2"/>
    </font>
    <font>
      <sz val="11"/>
      <color rgb="FF0070C0"/>
      <name val="Arial"/>
      <family val="2"/>
    </font>
    <font>
      <b/>
      <sz val="12"/>
      <color theme="1"/>
      <name val="Calibri"/>
      <family val="2"/>
      <scheme val="minor"/>
    </font>
    <font>
      <sz val="11"/>
      <color rgb="FFFF0000"/>
      <name val="Arial"/>
      <family val="2"/>
    </font>
    <font>
      <b/>
      <sz val="11"/>
      <color rgb="FFFF0000"/>
      <name val="Arial"/>
      <family val="2"/>
    </font>
    <font>
      <b/>
      <sz val="12"/>
      <color rgb="FF0070C0"/>
      <name val="Calibri"/>
      <family val="2"/>
      <scheme val="minor"/>
    </font>
    <font>
      <b/>
      <sz val="11"/>
      <color rgb="FFC00000"/>
      <name val="Calibri"/>
      <family val="2"/>
      <scheme val="minor"/>
    </font>
    <font>
      <b/>
      <sz val="11"/>
      <color rgb="FF002060"/>
      <name val="Calibri"/>
      <family val="2"/>
      <scheme val="minor"/>
    </font>
    <font>
      <b/>
      <sz val="12"/>
      <name val="Calibri"/>
      <family val="2"/>
      <scheme val="minor"/>
    </font>
    <font>
      <b/>
      <sz val="11"/>
      <color theme="4" tint="-0.249977111117893"/>
      <name val="Calibri"/>
      <family val="2"/>
      <scheme val="minor"/>
    </font>
    <font>
      <sz val="11"/>
      <color theme="4" tint="-0.249977111117893"/>
      <name val="Calibri"/>
      <family val="2"/>
      <scheme val="minor"/>
    </font>
    <font>
      <sz val="10"/>
      <color theme="4" tint="-0.249977111117893"/>
      <name val="Arial"/>
      <family val="2"/>
    </font>
    <font>
      <b/>
      <sz val="19"/>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4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362">
    <xf numFmtId="0" fontId="0" fillId="0" borderId="0" xfId="0"/>
    <xf numFmtId="0" fontId="2" fillId="0" borderId="0" xfId="0" applyFont="1"/>
    <xf numFmtId="0" fontId="3" fillId="0" borderId="0" xfId="0" applyFont="1" applyAlignment="1">
      <alignment wrapText="1"/>
    </xf>
    <xf numFmtId="0" fontId="3" fillId="0" borderId="0" xfId="0" applyFont="1"/>
    <xf numFmtId="0" fontId="2" fillId="0" borderId="0" xfId="0" applyFont="1" applyAlignment="1">
      <alignment wrapText="1"/>
    </xf>
    <xf numFmtId="0" fontId="1" fillId="0" borderId="0" xfId="0" applyFont="1" applyAlignment="1">
      <alignment wrapText="1"/>
    </xf>
    <xf numFmtId="0" fontId="4" fillId="0" borderId="0" xfId="0" applyFont="1" applyAlignment="1">
      <alignment wrapText="1"/>
    </xf>
    <xf numFmtId="8" fontId="2" fillId="0" borderId="0" xfId="0" applyNumberFormat="1" applyFont="1"/>
    <xf numFmtId="8" fontId="3" fillId="0" borderId="0" xfId="0" applyNumberFormat="1" applyFont="1"/>
    <xf numFmtId="8" fontId="2" fillId="0" borderId="1" xfId="0" applyNumberFormat="1" applyFont="1" applyBorder="1"/>
    <xf numFmtId="8" fontId="2" fillId="0" borderId="0" xfId="0" applyNumberFormat="1" applyFont="1" applyAlignment="1">
      <alignment horizontal="center" vertical="center"/>
    </xf>
    <xf numFmtId="8" fontId="2" fillId="0" borderId="0" xfId="0" applyNumberFormat="1" applyFont="1" applyAlignment="1">
      <alignment horizontal="center"/>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center" wrapText="1"/>
    </xf>
    <xf numFmtId="0" fontId="2" fillId="0" borderId="1" xfId="0" applyFont="1" applyBorder="1"/>
    <xf numFmtId="0" fontId="1" fillId="0" borderId="0" xfId="0" applyFont="1"/>
    <xf numFmtId="0" fontId="2" fillId="0" borderId="0" xfId="0" applyFont="1" applyAlignment="1">
      <alignment horizontal="center" wrapText="1"/>
    </xf>
    <xf numFmtId="8" fontId="0" fillId="0" borderId="0" xfId="0" applyNumberFormat="1"/>
    <xf numFmtId="0" fontId="0" fillId="0" borderId="0" xfId="0" quotePrefix="1"/>
    <xf numFmtId="0" fontId="0" fillId="0" borderId="0" xfId="0" applyAlignment="1">
      <alignment horizontal="center" wrapText="1"/>
    </xf>
    <xf numFmtId="0" fontId="0" fillId="0" borderId="0" xfId="0" applyAlignment="1">
      <alignment horizontal="center"/>
    </xf>
    <xf numFmtId="22" fontId="0" fillId="0" borderId="0" xfId="0" applyNumberFormat="1" applyAlignment="1">
      <alignment horizontal="center"/>
    </xf>
    <xf numFmtId="0" fontId="0" fillId="0" borderId="0" xfId="0" applyAlignment="1"/>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left"/>
    </xf>
    <xf numFmtId="0" fontId="8" fillId="0" borderId="0" xfId="0" applyFont="1" applyAlignment="1"/>
    <xf numFmtId="0" fontId="0" fillId="0" borderId="3"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xf>
    <xf numFmtId="164" fontId="0" fillId="0" borderId="0" xfId="0" applyNumberFormat="1"/>
    <xf numFmtId="0" fontId="0" fillId="0" borderId="11" xfId="0" applyBorder="1"/>
    <xf numFmtId="0" fontId="0" fillId="0" borderId="12" xfId="0" applyBorder="1"/>
    <xf numFmtId="0" fontId="0" fillId="0" borderId="13" xfId="0" applyBorder="1"/>
    <xf numFmtId="0" fontId="0" fillId="0" borderId="15" xfId="0" applyBorder="1"/>
    <xf numFmtId="0" fontId="0" fillId="0" borderId="17" xfId="0" applyBorder="1"/>
    <xf numFmtId="0" fontId="0" fillId="0" borderId="18" xfId="0" applyBorder="1"/>
    <xf numFmtId="0" fontId="0" fillId="0" borderId="20" xfId="0" applyBorder="1"/>
    <xf numFmtId="0" fontId="0" fillId="4" borderId="10" xfId="0" applyFill="1" applyBorder="1"/>
    <xf numFmtId="0" fontId="0" fillId="4" borderId="19" xfId="0" applyFill="1" applyBorder="1"/>
    <xf numFmtId="0" fontId="0" fillId="4" borderId="21" xfId="0" applyFill="1" applyBorder="1"/>
    <xf numFmtId="0" fontId="10" fillId="0" borderId="0" xfId="0" applyFont="1" applyAlignment="1"/>
    <xf numFmtId="0" fontId="2" fillId="0" borderId="0" xfId="0" applyFont="1" applyAlignment="1"/>
    <xf numFmtId="0" fontId="2" fillId="0" borderId="0" xfId="0" applyFont="1" applyFill="1" applyBorder="1"/>
    <xf numFmtId="0" fontId="9" fillId="0" borderId="0" xfId="0" applyFont="1" applyAlignment="1">
      <alignment horizontal="left"/>
    </xf>
    <xf numFmtId="0" fontId="9" fillId="0" borderId="0" xfId="0" applyFont="1" applyAlignment="1"/>
    <xf numFmtId="0" fontId="2" fillId="0" borderId="0" xfId="0" applyFont="1" applyAlignment="1">
      <alignment vertical="center"/>
    </xf>
    <xf numFmtId="0" fontId="0" fillId="0" borderId="17"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xf numFmtId="0" fontId="0" fillId="0" borderId="28" xfId="0" applyBorder="1" applyAlignment="1">
      <alignment wrapText="1"/>
    </xf>
    <xf numFmtId="0" fontId="0" fillId="0" borderId="18" xfId="0" applyBorder="1" applyAlignment="1">
      <alignment wrapText="1"/>
    </xf>
    <xf numFmtId="0" fontId="0" fillId="0" borderId="20" xfId="0" applyBorder="1" applyAlignment="1">
      <alignment wrapText="1"/>
    </xf>
    <xf numFmtId="0" fontId="0" fillId="0" borderId="22" xfId="0" applyBorder="1" applyAlignment="1">
      <alignment wrapText="1"/>
    </xf>
    <xf numFmtId="0" fontId="0" fillId="0" borderId="31" xfId="0" applyBorder="1"/>
    <xf numFmtId="0" fontId="0" fillId="0" borderId="17" xfId="0" applyBorder="1" applyAlignment="1">
      <alignment horizontal="left" vertical="center"/>
    </xf>
    <xf numFmtId="0" fontId="0" fillId="0" borderId="11" xfId="0" applyBorder="1" applyAlignment="1">
      <alignment horizontal="left" vertical="center" wrapText="1"/>
    </xf>
    <xf numFmtId="0" fontId="0" fillId="0" borderId="0" xfId="0" applyBorder="1"/>
    <xf numFmtId="0" fontId="0" fillId="0" borderId="32" xfId="0" applyBorder="1"/>
    <xf numFmtId="0" fontId="0" fillId="0" borderId="27" xfId="0" applyBorder="1"/>
    <xf numFmtId="0" fontId="2" fillId="0" borderId="0" xfId="0" applyFont="1" applyFill="1"/>
    <xf numFmtId="0" fontId="1" fillId="0" borderId="0" xfId="0" applyFont="1" applyAlignment="1"/>
    <xf numFmtId="0" fontId="0" fillId="0" borderId="36" xfId="0" applyBorder="1" applyAlignment="1">
      <alignment horizontal="left" vertical="center" wrapText="1"/>
    </xf>
    <xf numFmtId="0" fontId="0" fillId="0" borderId="35" xfId="0" applyBorder="1"/>
    <xf numFmtId="0" fontId="0" fillId="0" borderId="1" xfId="0" applyBorder="1"/>
    <xf numFmtId="0" fontId="0" fillId="0" borderId="37" xfId="0" applyBorder="1"/>
    <xf numFmtId="0" fontId="0" fillId="0" borderId="25" xfId="0" applyBorder="1" applyAlignment="1">
      <alignment horizontal="left" vertical="center" wrapText="1"/>
    </xf>
    <xf numFmtId="165" fontId="0" fillId="0" borderId="11" xfId="0" applyNumberFormat="1" applyBorder="1" applyAlignment="1"/>
    <xf numFmtId="165" fontId="0" fillId="0" borderId="11" xfId="0" applyNumberFormat="1" applyBorder="1"/>
    <xf numFmtId="165" fontId="0" fillId="0" borderId="25" xfId="0" applyNumberFormat="1" applyBorder="1"/>
    <xf numFmtId="165" fontId="0" fillId="0" borderId="13" xfId="0" applyNumberFormat="1" applyBorder="1"/>
    <xf numFmtId="165" fontId="0" fillId="0" borderId="36" xfId="0" applyNumberFormat="1" applyBorder="1" applyAlignment="1"/>
    <xf numFmtId="165" fontId="0" fillId="4" borderId="0" xfId="0" applyNumberFormat="1" applyFill="1"/>
    <xf numFmtId="0" fontId="0" fillId="4" borderId="0" xfId="0" applyFill="1"/>
    <xf numFmtId="0" fontId="0" fillId="0" borderId="37" xfId="0" applyBorder="1" applyAlignment="1">
      <alignment wrapText="1"/>
    </xf>
    <xf numFmtId="0" fontId="9" fillId="0" borderId="0" xfId="0" applyFont="1" applyAlignment="1">
      <alignment horizontal="center"/>
    </xf>
    <xf numFmtId="165" fontId="0" fillId="5" borderId="10" xfId="0" applyNumberFormat="1" applyFill="1" applyBorder="1"/>
    <xf numFmtId="165" fontId="0" fillId="5" borderId="34" xfId="0" applyNumberFormat="1" applyFill="1" applyBorder="1"/>
    <xf numFmtId="165" fontId="0" fillId="5" borderId="31" xfId="0" applyNumberFormat="1" applyFill="1" applyBorder="1"/>
    <xf numFmtId="2" fontId="0" fillId="5" borderId="31" xfId="0" applyNumberFormat="1" applyFill="1" applyBorder="1"/>
    <xf numFmtId="0" fontId="0" fillId="0" borderId="17" xfId="0" applyBorder="1" applyAlignment="1">
      <alignment horizontal="left" vertical="center" wrapText="1"/>
    </xf>
    <xf numFmtId="0" fontId="1" fillId="0" borderId="0" xfId="0" applyFont="1" applyAlignment="1">
      <alignment vertical="center"/>
    </xf>
    <xf numFmtId="8" fontId="1" fillId="0" borderId="0" xfId="0" applyNumberFormat="1" applyFont="1"/>
    <xf numFmtId="0" fontId="1" fillId="0" borderId="0" xfId="0" applyFont="1" applyAlignment="1">
      <alignment horizontal="center" wrapText="1"/>
    </xf>
    <xf numFmtId="6" fontId="1" fillId="0" borderId="0" xfId="0" applyNumberFormat="1" applyFont="1" applyAlignment="1">
      <alignment wrapText="1"/>
    </xf>
    <xf numFmtId="0" fontId="1" fillId="0" borderId="0" xfId="0" quotePrefix="1" applyFont="1" applyAlignment="1">
      <alignment vertical="top" wrapText="1"/>
    </xf>
    <xf numFmtId="0" fontId="1" fillId="0" borderId="0" xfId="0" applyFont="1" applyAlignment="1">
      <alignment horizontal="left" vertical="center"/>
    </xf>
    <xf numFmtId="6" fontId="1" fillId="0" borderId="0" xfId="0" applyNumberFormat="1" applyFont="1" applyFill="1" applyAlignment="1">
      <alignment wrapText="1"/>
    </xf>
    <xf numFmtId="0" fontId="17" fillId="0" borderId="0" xfId="0" applyFont="1" applyAlignment="1">
      <alignment horizontal="left"/>
    </xf>
    <xf numFmtId="165" fontId="1" fillId="0" borderId="0" xfId="0" applyNumberFormat="1" applyFont="1" applyAlignment="1">
      <alignment wrapText="1"/>
    </xf>
    <xf numFmtId="0" fontId="1" fillId="0" borderId="0" xfId="0" quotePrefix="1" applyFont="1" applyAlignment="1">
      <alignment wrapText="1"/>
    </xf>
    <xf numFmtId="6" fontId="1" fillId="0" borderId="0" xfId="0" applyNumberFormat="1" applyFont="1" applyAlignment="1">
      <alignment vertical="center" wrapText="1"/>
    </xf>
    <xf numFmtId="165" fontId="1" fillId="0" borderId="0" xfId="0" applyNumberFormat="1" applyFont="1" applyAlignment="1"/>
    <xf numFmtId="6" fontId="1" fillId="0" borderId="0" xfId="0" applyNumberFormat="1" applyFont="1" applyAlignment="1">
      <alignment horizontal="center" wrapText="1"/>
    </xf>
    <xf numFmtId="0" fontId="0" fillId="0" borderId="28" xfId="0" applyBorder="1" applyAlignment="1">
      <alignment vertical="center" wrapText="1"/>
    </xf>
    <xf numFmtId="0" fontId="0" fillId="0" borderId="22" xfId="0" applyBorder="1" applyAlignment="1">
      <alignment vertical="center" wrapTex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1" xfId="0" applyBorder="1" applyAlignment="1">
      <alignment vertical="center"/>
    </xf>
    <xf numFmtId="0" fontId="0" fillId="0" borderId="36" xfId="0" applyBorder="1" applyAlignment="1">
      <alignment horizontal="center" vertical="center"/>
    </xf>
    <xf numFmtId="6" fontId="1" fillId="0" borderId="0" xfId="0" quotePrefix="1" applyNumberFormat="1" applyFont="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pplyProtection="1">
      <alignment horizontal="left" vertical="center" wrapText="1"/>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 fillId="3" borderId="0" xfId="0" applyFont="1" applyFill="1" applyAlignment="1"/>
    <xf numFmtId="0" fontId="16" fillId="0" borderId="0" xfId="0" applyFont="1" applyAlignment="1">
      <alignment wrapText="1"/>
    </xf>
    <xf numFmtId="0" fontId="16" fillId="0" borderId="0" xfId="0" applyFont="1" applyAlignment="1">
      <alignment horizontal="center" wrapText="1"/>
    </xf>
    <xf numFmtId="6" fontId="16" fillId="0" borderId="0" xfId="0" applyNumberFormat="1" applyFont="1" applyAlignment="1">
      <alignment wrapText="1"/>
    </xf>
    <xf numFmtId="6" fontId="11" fillId="0" borderId="0" xfId="0" quotePrefix="1" applyNumberFormat="1" applyFont="1" applyAlignment="1">
      <alignment wrapText="1"/>
    </xf>
    <xf numFmtId="0" fontId="0" fillId="0" borderId="15" xfId="0" applyBorder="1" applyAlignment="1">
      <alignment vertical="center"/>
    </xf>
    <xf numFmtId="0" fontId="0" fillId="0" borderId="33" xfId="0" applyBorder="1" applyAlignment="1">
      <alignment vertical="center"/>
    </xf>
    <xf numFmtId="0" fontId="0" fillId="0" borderId="4" xfId="0" applyBorder="1" applyAlignment="1"/>
    <xf numFmtId="0" fontId="0" fillId="0" borderId="5" xfId="0" applyBorder="1" applyAlignment="1"/>
    <xf numFmtId="0" fontId="0" fillId="0" borderId="3"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3" xfId="0" applyBorder="1" applyAlignment="1"/>
    <xf numFmtId="0" fontId="0" fillId="0" borderId="2" xfId="0" applyBorder="1" applyAlignment="1"/>
    <xf numFmtId="0" fontId="0" fillId="0" borderId="9" xfId="0" applyBorder="1" applyAlignment="1"/>
    <xf numFmtId="165" fontId="0" fillId="5" borderId="0" xfId="0" applyNumberFormat="1" applyFill="1" applyBorder="1"/>
    <xf numFmtId="2" fontId="0" fillId="5" borderId="0" xfId="0" applyNumberFormat="1" applyFill="1" applyBorder="1"/>
    <xf numFmtId="165" fontId="0" fillId="5" borderId="19" xfId="0" applyNumberFormat="1" applyFill="1" applyBorder="1"/>
    <xf numFmtId="165" fontId="0" fillId="5" borderId="1" xfId="0" applyNumberFormat="1" applyFill="1" applyBorder="1"/>
    <xf numFmtId="2" fontId="0" fillId="5" borderId="1" xfId="0" applyNumberFormat="1" applyFill="1" applyBorder="1"/>
    <xf numFmtId="0" fontId="0" fillId="0" borderId="4" xfId="0" applyBorder="1" applyAlignment="1">
      <alignment wrapText="1"/>
    </xf>
    <xf numFmtId="0" fontId="0" fillId="0" borderId="14" xfId="0" applyBorder="1" applyAlignment="1">
      <alignment wrapText="1"/>
    </xf>
    <xf numFmtId="0" fontId="0" fillId="0" borderId="15" xfId="0" applyBorder="1" applyAlignment="1">
      <alignment wrapText="1"/>
    </xf>
    <xf numFmtId="0" fontId="1" fillId="2" borderId="0" xfId="0" applyFont="1" applyFill="1" applyAlignment="1" applyProtection="1">
      <alignment horizontal="center" vertical="center"/>
      <protection locked="0"/>
    </xf>
    <xf numFmtId="0" fontId="1" fillId="3"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1" fillId="0" borderId="0" xfId="0" applyFont="1" applyAlignment="1">
      <alignment horizontal="left"/>
    </xf>
    <xf numFmtId="0" fontId="2" fillId="0" borderId="0" xfId="0" applyFont="1" applyAlignment="1">
      <alignment horizontal="left" vertical="center" wrapText="1"/>
    </xf>
    <xf numFmtId="0" fontId="0" fillId="0" borderId="33" xfId="0" applyBorder="1" applyAlignment="1"/>
    <xf numFmtId="0" fontId="0" fillId="0" borderId="33" xfId="0" applyBorder="1" applyAlignment="1">
      <alignment horizontal="center"/>
    </xf>
    <xf numFmtId="0" fontId="1" fillId="0" borderId="0" xfId="0" applyFont="1" applyAlignment="1">
      <alignment vertical="center" wrapText="1"/>
    </xf>
    <xf numFmtId="0" fontId="20" fillId="6" borderId="40" xfId="0" applyFont="1" applyFill="1" applyBorder="1" applyAlignment="1"/>
    <xf numFmtId="0" fontId="23" fillId="0" borderId="0" xfId="0" applyFont="1" applyAlignment="1">
      <alignment horizontal="center" vertical="center"/>
    </xf>
    <xf numFmtId="165" fontId="23" fillId="0" borderId="0" xfId="0" applyNumberFormat="1" applyFont="1" applyAlignment="1">
      <alignment vertical="center"/>
    </xf>
    <xf numFmtId="0" fontId="23" fillId="0" borderId="0" xfId="0" quotePrefix="1" applyFont="1" applyAlignment="1">
      <alignment vertical="top" wrapText="1"/>
    </xf>
    <xf numFmtId="0" fontId="9" fillId="0" borderId="0" xfId="0" applyFont="1" applyAlignment="1">
      <alignment horizontal="left" vertical="center"/>
    </xf>
    <xf numFmtId="0" fontId="9"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right" vertical="center"/>
    </xf>
    <xf numFmtId="0" fontId="18" fillId="0" borderId="0" xfId="0" applyFont="1" applyAlignment="1">
      <alignment vertical="center" wrapText="1"/>
    </xf>
    <xf numFmtId="0" fontId="18" fillId="0" borderId="0" xfId="0" applyFont="1" applyAlignment="1">
      <alignment vertical="center"/>
    </xf>
    <xf numFmtId="0" fontId="9" fillId="0" borderId="0" xfId="0" applyFont="1" applyAlignment="1">
      <alignment vertical="center"/>
    </xf>
    <xf numFmtId="0" fontId="0" fillId="0" borderId="1" xfId="0" applyFill="1" applyBorder="1" applyAlignment="1">
      <alignment vertical="center"/>
    </xf>
    <xf numFmtId="0" fontId="0" fillId="0" borderId="41" xfId="0" applyFill="1" applyBorder="1" applyAlignment="1">
      <alignment vertical="center"/>
    </xf>
    <xf numFmtId="0" fontId="0" fillId="0" borderId="41" xfId="0" applyBorder="1" applyAlignment="1">
      <alignment vertical="center"/>
    </xf>
    <xf numFmtId="0" fontId="5" fillId="0" borderId="0" xfId="0" applyFont="1"/>
    <xf numFmtId="165" fontId="5" fillId="4" borderId="0" xfId="0" applyNumberFormat="1" applyFont="1" applyFill="1"/>
    <xf numFmtId="0" fontId="1" fillId="0" borderId="0" xfId="0" applyFont="1" applyAlignment="1">
      <alignment horizontal="left" vertical="center"/>
    </xf>
    <xf numFmtId="0" fontId="1" fillId="0" borderId="0" xfId="0" applyFont="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lignment horizontal="center"/>
    </xf>
    <xf numFmtId="0" fontId="1" fillId="0" borderId="0" xfId="0" applyFont="1" applyFill="1"/>
    <xf numFmtId="0" fontId="2" fillId="0" borderId="0" xfId="0" applyFont="1" applyFill="1" applyBorder="1" applyAlignment="1">
      <alignment vertical="center" wrapText="1"/>
    </xf>
    <xf numFmtId="0" fontId="0" fillId="0" borderId="0" xfId="0" applyFont="1" applyBorder="1"/>
    <xf numFmtId="0" fontId="21" fillId="3" borderId="0" xfId="0" applyFont="1" applyFill="1" applyBorder="1" applyAlignment="1"/>
    <xf numFmtId="0" fontId="1" fillId="0" borderId="0" xfId="0" applyFont="1" applyFill="1" applyAlignment="1">
      <alignment vertical="center"/>
    </xf>
    <xf numFmtId="0" fontId="24" fillId="0" borderId="0" xfId="0" applyFont="1"/>
    <xf numFmtId="0" fontId="0" fillId="0" borderId="24" xfId="0" applyBorder="1" applyAlignment="1">
      <alignment vertical="center" wrapText="1"/>
    </xf>
    <xf numFmtId="0" fontId="0" fillId="0" borderId="31" xfId="0" applyBorder="1" applyAlignment="1">
      <alignment vertical="center" wrapText="1"/>
    </xf>
    <xf numFmtId="0" fontId="0" fillId="0" borderId="1" xfId="0" applyBorder="1" applyAlignment="1">
      <alignment vertical="center" wrapText="1"/>
    </xf>
    <xf numFmtId="0" fontId="0" fillId="3" borderId="31" xfId="0" applyFill="1" applyBorder="1"/>
    <xf numFmtId="0" fontId="0" fillId="0" borderId="26" xfId="0" applyBorder="1"/>
    <xf numFmtId="0" fontId="0" fillId="0" borderId="19" xfId="0" applyBorder="1"/>
    <xf numFmtId="0" fontId="0" fillId="0" borderId="10" xfId="0" applyBorder="1"/>
    <xf numFmtId="0" fontId="0" fillId="3" borderId="19" xfId="0" applyFill="1" applyBorder="1"/>
    <xf numFmtId="0" fontId="0" fillId="3" borderId="34" xfId="0" applyFill="1" applyBorder="1"/>
    <xf numFmtId="0" fontId="0" fillId="3" borderId="1" xfId="0" applyFill="1" applyBorder="1"/>
    <xf numFmtId="0" fontId="24" fillId="0" borderId="0" xfId="0" applyFont="1" applyFill="1" applyBorder="1" applyAlignment="1">
      <alignment vertical="center"/>
    </xf>
    <xf numFmtId="0" fontId="24" fillId="0" borderId="0" xfId="0" applyFont="1" applyAlignment="1">
      <alignment wrapText="1"/>
    </xf>
    <xf numFmtId="0" fontId="26" fillId="0" borderId="0" xfId="0" applyFont="1" applyAlignment="1">
      <alignment horizontal="left"/>
    </xf>
    <xf numFmtId="165" fontId="25" fillId="0" borderId="0" xfId="0" applyNumberFormat="1" applyFont="1" applyAlignment="1">
      <alignment wrapText="1"/>
    </xf>
    <xf numFmtId="0" fontId="27" fillId="0" borderId="0" xfId="0" applyFont="1"/>
    <xf numFmtId="0" fontId="27" fillId="0" borderId="0" xfId="0" applyFont="1" applyAlignment="1">
      <alignment horizontal="right"/>
    </xf>
    <xf numFmtId="6" fontId="0" fillId="0" borderId="0" xfId="0" applyNumberFormat="1"/>
    <xf numFmtId="0" fontId="0" fillId="0" borderId="0" xfId="0" applyFill="1" applyBorder="1"/>
    <xf numFmtId="0" fontId="30" fillId="0" borderId="0" xfId="0" applyFont="1" applyBorder="1" applyAlignment="1"/>
    <xf numFmtId="0" fontId="30" fillId="0" borderId="0" xfId="0" applyFont="1" applyBorder="1" applyAlignment="1">
      <alignment wrapText="1"/>
    </xf>
    <xf numFmtId="0" fontId="0" fillId="0" borderId="5" xfId="0" applyBorder="1"/>
    <xf numFmtId="0" fontId="0" fillId="0" borderId="3"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0" fillId="0" borderId="4" xfId="0" applyBorder="1"/>
    <xf numFmtId="0" fontId="0" fillId="0" borderId="46" xfId="0" applyBorder="1" applyAlignment="1">
      <alignment vertical="center" wrapText="1"/>
    </xf>
    <xf numFmtId="0" fontId="0" fillId="0" borderId="47" xfId="0" applyBorder="1" applyAlignment="1">
      <alignment vertical="center" wrapText="1"/>
    </xf>
    <xf numFmtId="0" fontId="1" fillId="0" borderId="0" xfId="0" applyFont="1" applyFill="1" applyAlignment="1" applyProtection="1">
      <alignment horizontal="center" vertical="center"/>
    </xf>
    <xf numFmtId="0" fontId="1" fillId="0" borderId="0" xfId="0" applyFont="1" applyProtection="1"/>
    <xf numFmtId="0" fontId="2" fillId="0" borderId="0" xfId="0" applyFont="1" applyProtection="1"/>
    <xf numFmtId="0" fontId="2" fillId="0" borderId="0" xfId="0" applyFont="1" applyFill="1" applyAlignment="1" applyProtection="1">
      <alignment vertical="center" wrapText="1"/>
      <protection locked="0"/>
    </xf>
    <xf numFmtId="0" fontId="1" fillId="0" borderId="0" xfId="0" applyFont="1" applyFill="1" applyAlignment="1" applyProtection="1">
      <alignment horizontal="center"/>
      <protection locked="0"/>
    </xf>
    <xf numFmtId="0" fontId="1" fillId="0" borderId="0" xfId="0" applyFont="1" applyFill="1" applyProtection="1">
      <protection locked="0"/>
    </xf>
    <xf numFmtId="0" fontId="2" fillId="0" borderId="0" xfId="0" applyFont="1" applyFill="1" applyProtection="1">
      <protection locked="0"/>
    </xf>
    <xf numFmtId="0" fontId="1" fillId="0" borderId="0" xfId="0" applyFont="1" applyAlignment="1" applyProtection="1">
      <alignment horizontal="center"/>
    </xf>
    <xf numFmtId="0" fontId="0" fillId="0" borderId="2" xfId="0" applyBorder="1" applyAlignment="1">
      <alignment horizontal="left" vertical="center" wrapText="1"/>
    </xf>
    <xf numFmtId="0" fontId="0" fillId="0" borderId="31" xfId="0" applyFill="1" applyBorder="1"/>
    <xf numFmtId="0" fontId="0" fillId="0" borderId="0" xfId="0" applyFill="1" applyBorder="1" applyAlignment="1">
      <alignment horizontal="right" wrapText="1"/>
    </xf>
    <xf numFmtId="0" fontId="20" fillId="0" borderId="0" xfId="0" applyFont="1" applyFill="1" applyBorder="1" applyAlignment="1"/>
    <xf numFmtId="0" fontId="1" fillId="0" borderId="0" xfId="0" applyFont="1" applyAlignment="1">
      <alignment horizontal="left"/>
    </xf>
    <xf numFmtId="0" fontId="11" fillId="0" borderId="0" xfId="0" applyFont="1" applyAlignment="1">
      <alignment horizontal="left"/>
    </xf>
    <xf numFmtId="0" fontId="0" fillId="0" borderId="33" xfId="0" applyBorder="1" applyAlignment="1">
      <alignment horizontal="center" wrapText="1"/>
    </xf>
    <xf numFmtId="0" fontId="0" fillId="0" borderId="16" xfId="0" applyBorder="1" applyAlignment="1">
      <alignment horizontal="center" vertical="center" wrapText="1"/>
    </xf>
    <xf numFmtId="0" fontId="0" fillId="0" borderId="0" xfId="0" applyAlignment="1">
      <alignment horizontal="center" wrapText="1"/>
    </xf>
    <xf numFmtId="0" fontId="1" fillId="2" borderId="0" xfId="0" applyFont="1" applyFill="1" applyAlignment="1" applyProtection="1">
      <alignment vertical="center" wrapText="1"/>
      <protection locked="0"/>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0" xfId="0"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0" fillId="0" borderId="0" xfId="0" quotePrefix="1" applyFill="1" applyBorder="1" applyAlignment="1">
      <alignment horizontal="center" wrapText="1"/>
    </xf>
    <xf numFmtId="165" fontId="0" fillId="5" borderId="10" xfId="0" applyNumberFormat="1" applyFill="1" applyBorder="1" applyAlignment="1">
      <alignment horizontal="center" wrapText="1"/>
    </xf>
    <xf numFmtId="0" fontId="0" fillId="0" borderId="18" xfId="0" applyBorder="1" applyAlignment="1">
      <alignment horizontal="center" wrapText="1"/>
    </xf>
    <xf numFmtId="165" fontId="0" fillId="5" borderId="19" xfId="0" applyNumberFormat="1" applyFill="1" applyBorder="1" applyAlignment="1">
      <alignment horizontal="center" wrapText="1"/>
    </xf>
    <xf numFmtId="0" fontId="0" fillId="0" borderId="20" xfId="0" applyBorder="1" applyAlignment="1">
      <alignment horizontal="center" wrapText="1"/>
    </xf>
    <xf numFmtId="165" fontId="0" fillId="5" borderId="34" xfId="0" applyNumberFormat="1" applyFill="1" applyBorder="1" applyAlignment="1">
      <alignment horizontal="center" wrapText="1"/>
    </xf>
    <xf numFmtId="0" fontId="0" fillId="0" borderId="37" xfId="0" applyBorder="1" applyAlignment="1">
      <alignment horizontal="center" wrapText="1"/>
    </xf>
    <xf numFmtId="0" fontId="0" fillId="0" borderId="0" xfId="0" applyFont="1" applyBorder="1" applyAlignment="1">
      <alignment horizont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37" xfId="0" applyBorder="1" applyAlignment="1">
      <alignment horizontal="center" vertical="center" wrapText="1"/>
    </xf>
    <xf numFmtId="0" fontId="24" fillId="0" borderId="0" xfId="0" applyFont="1" applyAlignment="1">
      <alignment horizontal="center" wrapText="1"/>
    </xf>
    <xf numFmtId="0" fontId="0" fillId="0" borderId="25" xfId="0" applyBorder="1" applyAlignment="1">
      <alignment horizontal="center" wrapText="1"/>
    </xf>
    <xf numFmtId="0" fontId="0" fillId="0" borderId="11" xfId="0" applyBorder="1" applyAlignment="1">
      <alignment horizontal="center" wrapText="1"/>
    </xf>
    <xf numFmtId="0" fontId="0" fillId="0" borderId="22" xfId="0" applyBorder="1" applyAlignment="1">
      <alignment horizontal="center" wrapText="1"/>
    </xf>
    <xf numFmtId="0" fontId="0" fillId="0" borderId="33" xfId="0" applyBorder="1" applyAlignment="1">
      <alignment horizontal="center" vertical="center" wrapText="1"/>
    </xf>
    <xf numFmtId="0" fontId="0" fillId="0" borderId="24" xfId="0" applyBorder="1" applyAlignment="1">
      <alignment horizontal="center" wrapText="1"/>
    </xf>
    <xf numFmtId="0" fontId="0" fillId="0" borderId="28" xfId="0" applyBorder="1" applyAlignment="1">
      <alignment horizontal="center" wrapText="1"/>
    </xf>
    <xf numFmtId="0" fontId="0" fillId="0" borderId="31" xfId="0" applyBorder="1" applyAlignment="1">
      <alignment horizontal="center" wrapText="1"/>
    </xf>
    <xf numFmtId="0" fontId="0" fillId="0" borderId="1"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2" xfId="0" applyBorder="1"/>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wrapText="1"/>
    </xf>
    <xf numFmtId="0" fontId="31" fillId="0" borderId="0" xfId="0" applyFont="1" applyAlignment="1">
      <alignment horizontal="left" vertical="center"/>
    </xf>
    <xf numFmtId="0" fontId="32" fillId="0" borderId="0" xfId="0" applyFont="1" applyAlignment="1">
      <alignment horizontal="left" vertical="center"/>
    </xf>
    <xf numFmtId="0" fontId="11" fillId="0" borderId="0" xfId="0" applyFont="1" applyAlignment="1"/>
    <xf numFmtId="0" fontId="1" fillId="0" borderId="0" xfId="0" applyFont="1" applyAlignment="1">
      <alignment horizontal="left"/>
    </xf>
    <xf numFmtId="0" fontId="1" fillId="0" borderId="0" xfId="0" applyFont="1" applyAlignment="1">
      <alignmen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Border="1"/>
    <xf numFmtId="0" fontId="2" fillId="0" borderId="0" xfId="0" applyFont="1" applyAlignment="1" applyProtection="1">
      <alignment horizontal="left" vertical="center" wrapText="1"/>
    </xf>
    <xf numFmtId="165" fontId="0" fillId="0" borderId="17" xfId="0" applyNumberFormat="1" applyBorder="1" applyAlignment="1">
      <alignment wrapText="1"/>
    </xf>
    <xf numFmtId="165" fontId="1" fillId="0" borderId="0" xfId="0" applyNumberFormat="1" applyFont="1" applyAlignment="1">
      <alignment vertical="center" wrapText="1"/>
    </xf>
    <xf numFmtId="0" fontId="1" fillId="0" borderId="0" xfId="0" quotePrefix="1" applyFont="1" applyAlignment="1">
      <alignment vertical="center"/>
    </xf>
    <xf numFmtId="0" fontId="1" fillId="0" borderId="0" xfId="0" applyFont="1" applyAlignment="1">
      <alignment horizontal="left" vertical="center" wrapText="1"/>
    </xf>
    <xf numFmtId="0" fontId="1" fillId="2" borderId="0" xfId="0" applyFont="1" applyFill="1" applyAlignment="1" applyProtection="1">
      <alignment horizontal="center" vertical="center" wrapText="1"/>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pplyProtection="1">
      <alignment horizontal="center" vertical="center" wrapText="1"/>
    </xf>
    <xf numFmtId="0" fontId="15" fillId="0" borderId="39" xfId="0" applyFont="1" applyBorder="1" applyAlignment="1">
      <alignment horizontal="center" vertical="center" wrapText="1"/>
    </xf>
    <xf numFmtId="0" fontId="1" fillId="0" borderId="0" xfId="0" applyFont="1" applyAlignment="1">
      <alignment horizontal="left"/>
    </xf>
    <xf numFmtId="0" fontId="1" fillId="2" borderId="0" xfId="0" applyFont="1" applyFill="1" applyAlignment="1" applyProtection="1">
      <alignment horizontal="left" vertical="center" wrapText="1"/>
      <protection locked="0"/>
    </xf>
    <xf numFmtId="0" fontId="1" fillId="0" borderId="0" xfId="0" applyFont="1" applyAlignment="1">
      <alignment horizontal="left" vertical="center"/>
    </xf>
    <xf numFmtId="0" fontId="1" fillId="0" borderId="0" xfId="0" applyFont="1" applyAlignment="1" applyProtection="1">
      <alignment horizontal="left" vertical="center"/>
    </xf>
    <xf numFmtId="0" fontId="1" fillId="0" borderId="0" xfId="0" applyFont="1" applyAlignment="1">
      <alignment vertical="center"/>
    </xf>
    <xf numFmtId="0" fontId="2" fillId="0" borderId="0" xfId="0" applyFont="1" applyAlignment="1">
      <alignment horizontal="left" vertical="center" wrapText="1"/>
    </xf>
    <xf numFmtId="0" fontId="16" fillId="0" borderId="0" xfId="0" applyFont="1" applyAlignment="1">
      <alignment horizontal="left"/>
    </xf>
    <xf numFmtId="0" fontId="15" fillId="0" borderId="39" xfId="0" applyFont="1" applyBorder="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1" fillId="0" borderId="0" xfId="0" applyFont="1" applyAlignment="1">
      <alignment horizontal="left" wrapText="1"/>
    </xf>
    <xf numFmtId="0" fontId="2" fillId="0" borderId="0" xfId="0" applyFont="1" applyAlignment="1" applyProtection="1">
      <alignment horizontal="left" vertical="center" wrapText="1"/>
    </xf>
    <xf numFmtId="0" fontId="20" fillId="2" borderId="0" xfId="0" applyFont="1" applyFill="1" applyAlignment="1" applyProtection="1">
      <alignment horizontal="center" vertical="center" wrapText="1"/>
      <protection locked="0"/>
    </xf>
    <xf numFmtId="0" fontId="20" fillId="0" borderId="0" xfId="0" applyFont="1" applyAlignment="1">
      <alignment horizontal="left" vertical="center" wrapText="1"/>
    </xf>
    <xf numFmtId="0" fontId="22" fillId="0" borderId="0" xfId="0" applyFont="1" applyAlignment="1">
      <alignment horizontal="center" vertical="center"/>
    </xf>
    <xf numFmtId="0" fontId="1" fillId="0" borderId="0" xfId="0" applyFont="1" applyAlignment="1">
      <alignment horizontal="center" vertical="center" wrapText="1"/>
    </xf>
    <xf numFmtId="0" fontId="23" fillId="0" borderId="0" xfId="0" applyFont="1" applyAlignment="1">
      <alignment horizontal="center" wrapText="1"/>
    </xf>
    <xf numFmtId="0" fontId="12" fillId="0" borderId="38"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1" fillId="0" borderId="0" xfId="0" applyFont="1" applyAlignment="1">
      <alignment horizontal="left"/>
    </xf>
    <xf numFmtId="0" fontId="1" fillId="0" borderId="0" xfId="0" applyFont="1" applyFill="1" applyAlignment="1">
      <alignment horizontal="left" vertical="center" wrapText="1"/>
    </xf>
    <xf numFmtId="0" fontId="34" fillId="0" borderId="11" xfId="0" applyFont="1" applyBorder="1" applyAlignment="1">
      <alignment horizontal="left"/>
    </xf>
    <xf numFmtId="0" fontId="34" fillId="0" borderId="31" xfId="0" applyFont="1" applyBorder="1" applyAlignment="1">
      <alignment horizontal="left"/>
    </xf>
    <xf numFmtId="0" fontId="34" fillId="0" borderId="12" xfId="0" applyFont="1" applyBorder="1" applyAlignment="1">
      <alignment horizontal="left"/>
    </xf>
    <xf numFmtId="0" fontId="33" fillId="0" borderId="0" xfId="0" applyFont="1" applyAlignment="1">
      <alignment horizontal="left" vertical="center" wrapText="1"/>
    </xf>
    <xf numFmtId="0" fontId="33" fillId="0" borderId="0" xfId="0" applyFont="1" applyAlignment="1">
      <alignment horizontal="left" vertical="center"/>
    </xf>
    <xf numFmtId="0" fontId="0" fillId="0" borderId="44" xfId="0" applyBorder="1" applyAlignment="1">
      <alignment horizontal="center" wrapText="1"/>
    </xf>
    <xf numFmtId="0" fontId="0" fillId="0" borderId="45" xfId="0" applyBorder="1" applyAlignment="1">
      <alignment horizontal="center" wrapText="1"/>
    </xf>
    <xf numFmtId="0" fontId="0" fillId="0" borderId="43" xfId="0" applyBorder="1" applyAlignment="1">
      <alignment horizontal="center"/>
    </xf>
    <xf numFmtId="0" fontId="0" fillId="0" borderId="41" xfId="0" applyBorder="1" applyAlignment="1">
      <alignment horizontal="center"/>
    </xf>
    <xf numFmtId="0" fontId="0" fillId="0" borderId="19"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9" xfId="0" applyFill="1" applyBorder="1" applyAlignment="1">
      <alignment horizontal="center" vertical="center"/>
    </xf>
    <xf numFmtId="0" fontId="0" fillId="0" borderId="31" xfId="0" applyFill="1" applyBorder="1" applyAlignment="1">
      <alignment horizontal="center" vertical="center"/>
    </xf>
    <xf numFmtId="0" fontId="0" fillId="0" borderId="0" xfId="0" applyFont="1" applyBorder="1" applyAlignment="1">
      <alignment horizontal="left" vertical="center" wrapText="1"/>
    </xf>
    <xf numFmtId="0" fontId="24" fillId="0" borderId="0" xfId="0" applyFont="1" applyAlignment="1">
      <alignment horizontal="right"/>
    </xf>
    <xf numFmtId="0" fontId="0" fillId="0" borderId="29" xfId="0" applyBorder="1" applyAlignment="1">
      <alignment horizontal="center" wrapText="1"/>
    </xf>
    <xf numFmtId="0" fontId="0" fillId="0" borderId="30" xfId="0" applyBorder="1" applyAlignment="1">
      <alignment horizontal="center" wrapText="1"/>
    </xf>
    <xf numFmtId="0" fontId="0" fillId="0" borderId="34" xfId="0" applyFill="1"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5" xfId="0" applyBorder="1" applyAlignment="1">
      <alignment horizontal="center" wrapText="1"/>
    </xf>
    <xf numFmtId="0" fontId="0" fillId="0" borderId="33"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15" xfId="0" applyBorder="1" applyAlignment="1"/>
    <xf numFmtId="0" fontId="0" fillId="0" borderId="33" xfId="0" applyBorder="1" applyAlignment="1"/>
    <xf numFmtId="0" fontId="2" fillId="0" borderId="10" xfId="0" applyFont="1" applyBorder="1" applyAlignment="1">
      <alignment vertical="center"/>
    </xf>
    <xf numFmtId="0" fontId="2" fillId="0" borderId="0" xfId="0" applyFont="1" applyBorder="1" applyAlignment="1">
      <alignment vertical="center"/>
    </xf>
    <xf numFmtId="0" fontId="2" fillId="0" borderId="34" xfId="0" applyFont="1" applyBorder="1" applyAlignment="1">
      <alignment vertical="center"/>
    </xf>
    <xf numFmtId="0" fontId="2" fillId="0" borderId="1" xfId="0" applyFont="1" applyBorder="1" applyAlignment="1">
      <alignment vertical="center"/>
    </xf>
    <xf numFmtId="0" fontId="0" fillId="0" borderId="29" xfId="0" applyBorder="1" applyAlignment="1">
      <alignment vertical="center" wrapText="1"/>
    </xf>
    <xf numFmtId="0" fontId="0" fillId="0" borderId="30" xfId="0" applyBorder="1" applyAlignment="1">
      <alignment vertical="center" wrapText="1"/>
    </xf>
    <xf numFmtId="0" fontId="0" fillId="0" borderId="10" xfId="0" applyBorder="1" applyAlignment="1">
      <alignment vertical="center" wrapText="1"/>
    </xf>
    <xf numFmtId="0" fontId="0" fillId="0" borderId="26"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5" xfId="0" applyBorder="1" applyAlignment="1">
      <alignment horizontal="center"/>
    </xf>
    <xf numFmtId="0" fontId="0" fillId="0" borderId="33" xfId="0" applyBorder="1" applyAlignment="1">
      <alignment horizontal="center"/>
    </xf>
    <xf numFmtId="0" fontId="0" fillId="0" borderId="16" xfId="0" applyBorder="1" applyAlignment="1">
      <alignment horizontal="center"/>
    </xf>
    <xf numFmtId="0" fontId="0" fillId="0" borderId="15" xfId="0" applyBorder="1" applyAlignment="1">
      <alignment vertical="center"/>
    </xf>
    <xf numFmtId="0" fontId="0" fillId="0" borderId="33"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0" borderId="0" xfId="0" applyFont="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xf>
    <xf numFmtId="0" fontId="30" fillId="0" borderId="0" xfId="0" applyFont="1" applyBorder="1" applyAlignment="1">
      <alignment horizontal="left"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Alignment="1">
      <alignment horizontal="center" wrapText="1"/>
    </xf>
    <xf numFmtId="0" fontId="6"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left" indent="5"/>
    </xf>
  </cellXfs>
  <cellStyles count="1">
    <cellStyle name="Standaard" xfId="0" builtinId="0"/>
  </cellStyles>
  <dxfs count="14">
    <dxf>
      <font>
        <color theme="0" tint="-4.9989318521683403E-2"/>
      </font>
      <fill>
        <patternFill>
          <bgColor theme="0"/>
        </patternFill>
      </fill>
    </dxf>
    <dxf>
      <font>
        <color theme="0" tint="-4.9989318521683403E-2"/>
      </font>
      <fill>
        <patternFill>
          <bgColor theme="0"/>
        </patternFill>
      </fill>
    </dxf>
    <dxf>
      <font>
        <color theme="0" tint="-4.9989318521683403E-2"/>
      </font>
      <fill>
        <patternFill>
          <bgColor theme="0"/>
        </patternFill>
      </fill>
    </dxf>
    <dxf>
      <font>
        <b/>
        <i val="0"/>
        <color rgb="FFFF0000"/>
      </font>
    </dxf>
    <dxf>
      <font>
        <color theme="0" tint="-4.9989318521683403E-2"/>
      </font>
      <fill>
        <patternFill>
          <bgColor theme="0"/>
        </patternFill>
      </fill>
    </dxf>
    <dxf>
      <font>
        <color theme="0" tint="-4.9989318521683403E-2"/>
      </font>
      <fill>
        <patternFill>
          <bgColor theme="0"/>
        </patternFill>
      </fill>
    </dxf>
    <dxf>
      <font>
        <color theme="0" tint="-4.9989318521683403E-2"/>
      </font>
      <fill>
        <patternFill>
          <bgColor theme="0"/>
        </patternFill>
      </fill>
    </dxf>
    <dxf>
      <font>
        <color theme="0" tint="-4.9989318521683403E-2"/>
      </font>
      <fill>
        <patternFill>
          <bgColor theme="0"/>
        </patternFill>
      </fill>
    </dxf>
    <dxf>
      <font>
        <color theme="0" tint="-4.9989318521683403E-2"/>
      </font>
      <fill>
        <patternFill>
          <bgColor theme="0"/>
        </patternFill>
      </fill>
    </dxf>
    <dxf>
      <font>
        <color theme="0" tint="-4.9989318521683403E-2"/>
      </font>
      <fill>
        <patternFill>
          <bgColor theme="0"/>
        </patternFill>
      </fill>
    </dxf>
    <dxf>
      <font>
        <color theme="0" tint="-4.9989318521683403E-2"/>
      </font>
    </dxf>
    <dxf>
      <font>
        <color theme="0" tint="-4.9989318521683403E-2"/>
      </font>
    </dxf>
    <dxf>
      <font>
        <color theme="2"/>
      </font>
      <fill>
        <patternFill patternType="solid">
          <bgColor theme="0"/>
        </patternFill>
      </fill>
    </dxf>
    <dxf>
      <font>
        <strike val="0"/>
        <color theme="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886F8-06BB-43B5-8A01-69EA5EF557C0}">
  <sheetPr>
    <pageSetUpPr fitToPage="1"/>
  </sheetPr>
  <dimension ref="A1:M157"/>
  <sheetViews>
    <sheetView tabSelected="1" topLeftCell="A34" zoomScale="85" zoomScaleNormal="85" workbookViewId="0">
      <selection activeCell="N50" sqref="N50"/>
    </sheetView>
  </sheetViews>
  <sheetFormatPr defaultRowHeight="14.25" x14ac:dyDescent="0.2"/>
  <cols>
    <col min="1" max="1" width="12.5703125" style="1" customWidth="1"/>
    <col min="2" max="2" width="11.42578125" style="1" customWidth="1"/>
    <col min="3" max="3" width="11" style="1" customWidth="1"/>
    <col min="4" max="4" width="22.140625" style="31" customWidth="1"/>
    <col min="5" max="5" width="24.42578125" style="1" customWidth="1"/>
    <col min="6" max="6" width="63.140625" style="1" customWidth="1"/>
    <col min="7" max="7" width="4.85546875" style="31" customWidth="1"/>
    <col min="8" max="8" width="16.85546875" style="1" hidden="1" customWidth="1"/>
    <col min="9" max="9" width="16.85546875" style="1" customWidth="1"/>
    <col min="10" max="10" width="13.42578125" style="1" bestFit="1" customWidth="1"/>
    <col min="11" max="12" width="13.5703125" style="1" bestFit="1" customWidth="1"/>
    <col min="13" max="16384" width="9.140625" style="1"/>
  </cols>
  <sheetData>
    <row r="1" spans="1:11" ht="84" customHeight="1" x14ac:dyDescent="0.4">
      <c r="A1" s="295" t="s">
        <v>302</v>
      </c>
      <c r="B1" s="295"/>
      <c r="C1" s="295"/>
      <c r="D1" s="295"/>
      <c r="E1" s="295"/>
      <c r="F1" s="295"/>
      <c r="G1" s="295"/>
      <c r="H1" s="295"/>
      <c r="I1" s="295"/>
      <c r="J1" s="295"/>
      <c r="K1" s="43"/>
    </row>
    <row r="2" spans="1:11" ht="32.1" customHeight="1" x14ac:dyDescent="0.2">
      <c r="A2" s="296" t="s">
        <v>303</v>
      </c>
      <c r="B2" s="297"/>
      <c r="C2" s="297"/>
      <c r="D2" s="297"/>
      <c r="E2" s="297"/>
      <c r="F2" s="297"/>
      <c r="G2" s="297"/>
      <c r="H2" s="297"/>
      <c r="I2" s="297"/>
      <c r="J2" s="297"/>
    </row>
    <row r="3" spans="1:11" ht="32.1" customHeight="1" x14ac:dyDescent="0.2">
      <c r="A3" s="277" t="s">
        <v>255</v>
      </c>
      <c r="B3" s="285"/>
      <c r="C3" s="285"/>
      <c r="D3" s="285"/>
      <c r="E3" s="285"/>
      <c r="F3" s="285"/>
      <c r="G3" s="285"/>
      <c r="H3" s="285"/>
      <c r="I3" s="285"/>
      <c r="J3" s="285"/>
    </row>
    <row r="4" spans="1:11" ht="32.1" customHeight="1" x14ac:dyDescent="0.2">
      <c r="A4" s="277" t="s">
        <v>256</v>
      </c>
      <c r="B4" s="285"/>
      <c r="C4" s="285"/>
      <c r="D4" s="285"/>
      <c r="E4" s="285"/>
      <c r="F4" s="285"/>
      <c r="G4" s="285"/>
      <c r="H4" s="285"/>
      <c r="I4" s="285"/>
      <c r="J4" s="285"/>
    </row>
    <row r="5" spans="1:11" ht="32.1" customHeight="1" x14ac:dyDescent="0.2">
      <c r="A5" s="277" t="s">
        <v>305</v>
      </c>
      <c r="B5" s="277"/>
      <c r="C5" s="277"/>
      <c r="D5" s="277"/>
      <c r="E5" s="277"/>
      <c r="F5" s="277"/>
      <c r="G5" s="277"/>
      <c r="H5" s="277"/>
      <c r="I5" s="277"/>
      <c r="J5" s="277"/>
    </row>
    <row r="6" spans="1:11" x14ac:dyDescent="0.2">
      <c r="F6" s="267"/>
    </row>
    <row r="8" spans="1:11" ht="26.25" customHeight="1" x14ac:dyDescent="0.3">
      <c r="A8" s="284" t="s">
        <v>178</v>
      </c>
      <c r="B8" s="284"/>
      <c r="C8" s="284"/>
      <c r="D8" s="284"/>
      <c r="E8" s="284"/>
      <c r="F8" s="284"/>
      <c r="G8" s="284"/>
      <c r="H8" s="284"/>
      <c r="I8" s="284"/>
      <c r="J8" s="284"/>
    </row>
    <row r="9" spans="1:11" ht="15" x14ac:dyDescent="0.25">
      <c r="A9" s="25"/>
      <c r="B9" s="25"/>
      <c r="C9" s="25"/>
      <c r="D9" s="114"/>
      <c r="E9" s="25"/>
      <c r="F9" s="25"/>
      <c r="G9" s="114"/>
      <c r="H9" s="25"/>
      <c r="I9" s="263"/>
      <c r="J9" s="25"/>
    </row>
    <row r="10" spans="1:11" ht="15" x14ac:dyDescent="0.25">
      <c r="A10" s="217"/>
      <c r="B10" s="217"/>
      <c r="C10" s="217"/>
      <c r="D10" s="114"/>
      <c r="E10" s="217"/>
      <c r="F10" s="217"/>
      <c r="G10" s="114"/>
      <c r="H10" s="217"/>
      <c r="I10" s="263"/>
      <c r="J10" s="217"/>
    </row>
    <row r="11" spans="1:11" ht="15" x14ac:dyDescent="0.25">
      <c r="D11" s="1"/>
      <c r="E11" s="207" t="s">
        <v>284</v>
      </c>
      <c r="F11" s="1" t="s">
        <v>109</v>
      </c>
      <c r="G11" s="114"/>
      <c r="H11" s="16"/>
      <c r="I11" s="16"/>
      <c r="J11" s="16"/>
    </row>
    <row r="12" spans="1:11" ht="147" customHeight="1" x14ac:dyDescent="0.2">
      <c r="A12" s="272" t="s">
        <v>281</v>
      </c>
      <c r="B12" s="280"/>
      <c r="C12" s="280"/>
      <c r="D12" s="280"/>
      <c r="E12" s="222" t="s">
        <v>275</v>
      </c>
      <c r="F12" s="14" t="str">
        <f>VLOOKUP(E12,'Hulp Blad'!C35:F38,2,FALSE)</f>
        <v xml:space="preserve">Deze oplossing wordt door de gemeente voorgesteld. 
Verwarming met elektriciteit in plaats van gas.
Rendement ± 250 %
Er is meestal ook een boilervat nodig.   Dat moet continue warm worden gehouden kost nog eens extra stroom.
Neemt veel ruimte in.   Ongeveer dubbel zo groot als een grote Amerikaanse koelkast.
</v>
      </c>
      <c r="G12" s="303" t="str">
        <f>VLOOKUP(E12,'Hulp Blad'!C35:F38,3,FALSE)</f>
        <v xml:space="preserve">Mogelijk moet het hele warmte overdrachtsysteem worden aangepast.   Dat is een grote ombouw van het hele huis. </v>
      </c>
      <c r="H12" s="304"/>
      <c r="I12" s="304"/>
      <c r="J12" s="304"/>
    </row>
    <row r="13" spans="1:11" ht="15" x14ac:dyDescent="0.25">
      <c r="D13" s="1"/>
      <c r="E13" s="207"/>
      <c r="F13" s="1" t="s">
        <v>285</v>
      </c>
      <c r="G13" s="114"/>
      <c r="H13" s="16"/>
      <c r="I13" s="16"/>
      <c r="J13" s="16"/>
    </row>
    <row r="14" spans="1:11" ht="15" x14ac:dyDescent="0.25">
      <c r="D14" s="1"/>
      <c r="E14" s="207"/>
      <c r="G14" s="114"/>
      <c r="H14" s="16"/>
      <c r="I14" s="16"/>
      <c r="J14" s="16"/>
    </row>
    <row r="15" spans="1:11" ht="49.5" customHeight="1" x14ac:dyDescent="0.25">
      <c r="A15" s="276" t="str">
        <f>VLOOKUP(E12,'Hulp Blad'!C35:K38,8,FALSE)</f>
        <v>De ombouwkosten worden berekend aan de hand van de volgende vragen.</v>
      </c>
      <c r="B15" s="276"/>
      <c r="C15" s="276"/>
      <c r="D15" s="276"/>
      <c r="E15" s="276"/>
      <c r="F15" s="276"/>
      <c r="G15" s="114"/>
      <c r="H15" s="16"/>
      <c r="I15" s="16"/>
      <c r="J15" s="16"/>
    </row>
    <row r="16" spans="1:11" ht="15" x14ac:dyDescent="0.25">
      <c r="A16" s="217"/>
      <c r="B16" s="217"/>
      <c r="C16" s="217"/>
      <c r="D16" s="114"/>
      <c r="E16" s="217"/>
      <c r="F16" s="217"/>
      <c r="G16" s="114"/>
      <c r="H16" s="217"/>
      <c r="I16" s="263"/>
      <c r="J16" s="217"/>
    </row>
    <row r="17" spans="1:10" ht="15" x14ac:dyDescent="0.25">
      <c r="A17" s="217"/>
      <c r="B17" s="217"/>
      <c r="C17" s="217"/>
      <c r="D17" s="114"/>
      <c r="E17" s="217"/>
      <c r="F17" s="217"/>
      <c r="G17" s="114"/>
      <c r="H17" s="217"/>
      <c r="I17" s="263"/>
      <c r="J17" s="217"/>
    </row>
    <row r="18" spans="1:10" ht="15" x14ac:dyDescent="0.25">
      <c r="A18" s="16"/>
      <c r="B18" s="16"/>
      <c r="C18" s="16"/>
      <c r="D18" s="114"/>
      <c r="E18" s="16"/>
      <c r="F18" s="1" t="s">
        <v>109</v>
      </c>
      <c r="G18" s="114"/>
      <c r="H18" s="16"/>
      <c r="I18" s="16"/>
      <c r="J18" s="16"/>
    </row>
    <row r="19" spans="1:10" s="48" customFormat="1" ht="42.75" x14ac:dyDescent="0.25">
      <c r="A19" s="84" t="s">
        <v>99</v>
      </c>
      <c r="B19" s="84"/>
      <c r="C19" s="84"/>
      <c r="E19" s="144" t="s">
        <v>100</v>
      </c>
      <c r="F19" s="14" t="str">
        <f>VLOOKUP(E19,'Hulp Blad'!B5:C8,2,FALSE)</f>
        <v>Bij de bouw niet goed geïsoleerd. 
Normaal gesproken niet geschikt voor laag temperatuur verwarmingssysteem.</v>
      </c>
      <c r="G19" s="115"/>
      <c r="H19" s="84"/>
      <c r="I19" s="264"/>
      <c r="J19" s="84"/>
    </row>
    <row r="20" spans="1:10" ht="51" customHeight="1" x14ac:dyDescent="0.25">
      <c r="A20" s="293" t="str">
        <f>VLOOKUP(E19,'Hulp Blad'!B5:G8,5,FALSE)</f>
        <v xml:space="preserve">Als de woning in de loop der tijd nog niet opnieuw geïsoleerd is, dan zal deze eerst extra geïsoleerd moeten worden.   Deze extra kosten kunnen niet worden berekend met deze sheet.  Laat hiervoor een offerte opstellen door een deskundige aannemer. </v>
      </c>
      <c r="B20" s="293"/>
      <c r="C20" s="293"/>
      <c r="D20" s="293"/>
      <c r="E20" s="293"/>
      <c r="F20" s="293"/>
      <c r="G20" s="114"/>
      <c r="H20" s="16"/>
      <c r="I20" s="16"/>
      <c r="J20" s="16"/>
    </row>
    <row r="21" spans="1:10" ht="15" x14ac:dyDescent="0.25">
      <c r="A21" s="16"/>
      <c r="B21" s="16"/>
      <c r="C21" s="16"/>
      <c r="D21" s="114"/>
      <c r="E21" s="16"/>
      <c r="G21" s="114"/>
      <c r="H21" s="16"/>
      <c r="I21" s="16"/>
      <c r="J21" s="16"/>
    </row>
    <row r="22" spans="1:10" ht="15" x14ac:dyDescent="0.25">
      <c r="A22" s="16"/>
      <c r="B22" s="16"/>
      <c r="C22" s="16"/>
      <c r="D22" s="114"/>
      <c r="E22" s="16"/>
      <c r="G22" s="114"/>
      <c r="H22" s="16"/>
      <c r="I22" s="16"/>
      <c r="J22" s="16"/>
    </row>
    <row r="23" spans="1:10" ht="15" x14ac:dyDescent="0.25">
      <c r="A23" s="16"/>
      <c r="B23" s="16"/>
      <c r="C23" s="16"/>
      <c r="D23" s="114"/>
      <c r="E23" s="16"/>
      <c r="F23" s="1" t="s">
        <v>109</v>
      </c>
      <c r="G23" s="114"/>
      <c r="H23" s="16"/>
      <c r="I23" s="16"/>
      <c r="J23" s="16"/>
    </row>
    <row r="24" spans="1:10" s="48" customFormat="1" ht="33.75" customHeight="1" x14ac:dyDescent="0.25">
      <c r="A24" s="280" t="s">
        <v>113</v>
      </c>
      <c r="B24" s="280"/>
      <c r="C24" s="280"/>
      <c r="E24" s="144" t="s">
        <v>115</v>
      </c>
      <c r="F24" s="14" t="str">
        <f>VLOOKUP(E24,'Hulp Blad'!B12:C15,2,FALSE)</f>
        <v>Warmte verlies mogelijk via voorgevel en achtergevel, dak en vloer.</v>
      </c>
      <c r="G24" s="115"/>
      <c r="H24" s="84"/>
      <c r="I24" s="264"/>
      <c r="J24" s="84"/>
    </row>
    <row r="25" spans="1:10" s="207" customFormat="1" ht="15" x14ac:dyDescent="0.25">
      <c r="A25" s="206"/>
      <c r="B25" s="206"/>
      <c r="C25" s="206"/>
      <c r="D25" s="212"/>
      <c r="E25" s="206"/>
      <c r="G25" s="212"/>
      <c r="H25" s="206"/>
      <c r="I25" s="206"/>
      <c r="J25" s="206"/>
    </row>
    <row r="26" spans="1:10" s="207" customFormat="1" ht="15" x14ac:dyDescent="0.25">
      <c r="A26" s="206"/>
      <c r="B26" s="206"/>
      <c r="C26" s="206"/>
      <c r="D26" s="212"/>
      <c r="E26" s="206"/>
      <c r="G26" s="212"/>
      <c r="H26" s="206"/>
      <c r="I26" s="206"/>
      <c r="J26" s="206"/>
    </row>
    <row r="27" spans="1:10" s="207" customFormat="1" ht="15" x14ac:dyDescent="0.25">
      <c r="A27" s="206"/>
      <c r="B27" s="206"/>
      <c r="C27" s="206"/>
      <c r="D27" s="212"/>
      <c r="E27" s="206"/>
      <c r="F27" s="207" t="s">
        <v>109</v>
      </c>
      <c r="G27" s="212"/>
      <c r="H27" s="206"/>
      <c r="I27" s="206"/>
      <c r="J27" s="206"/>
    </row>
    <row r="28" spans="1:10" ht="57" x14ac:dyDescent="0.25">
      <c r="A28" s="272" t="s">
        <v>108</v>
      </c>
      <c r="B28" s="272"/>
      <c r="C28" s="272"/>
      <c r="D28" s="272"/>
      <c r="E28" s="144">
        <v>3</v>
      </c>
      <c r="F28" s="14" t="str">
        <f>VLOOKUP(E28,'Hulp Blad'!B19:C22,2,FALSE)</f>
        <v xml:space="preserve">Woningen met een vaste trap naar zolder.  De zolder is in gebruik als leefruimte of als slaapkamer.
De begane grond, de eerste verdieping en de tweede verdieping moeten worden verwarmd. </v>
      </c>
      <c r="G28" s="114"/>
      <c r="H28" s="16"/>
      <c r="I28" s="16"/>
      <c r="J28" s="16"/>
    </row>
    <row r="29" spans="1:10" s="211" customFormat="1" ht="15" x14ac:dyDescent="0.25">
      <c r="A29" s="118"/>
      <c r="B29" s="118"/>
      <c r="C29" s="118"/>
      <c r="D29" s="118"/>
      <c r="E29" s="170"/>
      <c r="F29" s="208"/>
      <c r="G29" s="209"/>
      <c r="H29" s="210"/>
      <c r="I29" s="210"/>
      <c r="J29" s="210"/>
    </row>
    <row r="30" spans="1:10" s="211" customFormat="1" ht="15" x14ac:dyDescent="0.25">
      <c r="A30" s="118"/>
      <c r="B30" s="118"/>
      <c r="C30" s="118"/>
      <c r="D30" s="118"/>
      <c r="E30" s="170"/>
      <c r="F30" s="208"/>
      <c r="G30" s="209"/>
      <c r="H30" s="210"/>
      <c r="I30" s="210"/>
      <c r="J30" s="210"/>
    </row>
    <row r="31" spans="1:10" s="63" customFormat="1" ht="15" x14ac:dyDescent="0.25">
      <c r="A31" s="169" t="s">
        <v>107</v>
      </c>
      <c r="B31" s="169"/>
      <c r="C31" s="299" t="s">
        <v>219</v>
      </c>
      <c r="D31" s="299"/>
      <c r="E31" s="145">
        <v>50</v>
      </c>
      <c r="F31" s="84" t="s">
        <v>257</v>
      </c>
      <c r="G31" s="171"/>
      <c r="H31" s="172"/>
      <c r="I31" s="172"/>
      <c r="J31" s="172"/>
    </row>
    <row r="32" spans="1:10" s="63" customFormat="1" ht="15" x14ac:dyDescent="0.25">
      <c r="A32" s="168"/>
      <c r="B32" s="168"/>
      <c r="C32" s="299" t="s">
        <v>218</v>
      </c>
      <c r="D32" s="299"/>
      <c r="E32" s="145">
        <v>50</v>
      </c>
      <c r="F32" s="169" t="s">
        <v>258</v>
      </c>
      <c r="G32" s="171"/>
      <c r="H32" s="172"/>
      <c r="I32" s="172"/>
      <c r="J32" s="172"/>
    </row>
    <row r="33" spans="1:10" s="63" customFormat="1" ht="15" x14ac:dyDescent="0.25">
      <c r="A33" s="168"/>
      <c r="B33" s="168"/>
      <c r="C33" s="299" t="s">
        <v>220</v>
      </c>
      <c r="D33" s="299"/>
      <c r="E33" s="145">
        <v>40</v>
      </c>
      <c r="F33" s="169" t="s">
        <v>259</v>
      </c>
      <c r="G33" s="171"/>
      <c r="H33" s="172"/>
      <c r="I33" s="172"/>
      <c r="J33" s="172"/>
    </row>
    <row r="34" spans="1:10" s="63" customFormat="1" ht="15" x14ac:dyDescent="0.25">
      <c r="A34" s="168"/>
      <c r="B34" s="168"/>
      <c r="C34" s="117"/>
      <c r="D34" s="116"/>
      <c r="E34" s="205"/>
      <c r="F34" s="176"/>
      <c r="G34" s="171"/>
      <c r="H34" s="172"/>
      <c r="I34" s="172"/>
      <c r="J34" s="172"/>
    </row>
    <row r="35" spans="1:10" s="63" customFormat="1" ht="15" x14ac:dyDescent="0.25">
      <c r="A35" s="116"/>
      <c r="B35" s="116"/>
      <c r="C35" s="116"/>
      <c r="D35" s="116"/>
      <c r="E35" s="205"/>
      <c r="F35" s="260" t="s">
        <v>297</v>
      </c>
      <c r="G35" s="171"/>
      <c r="H35" s="172"/>
      <c r="I35" s="172"/>
      <c r="J35" s="172"/>
    </row>
    <row r="36" spans="1:10" ht="15" x14ac:dyDescent="0.25">
      <c r="A36" s="16"/>
      <c r="B36" s="16"/>
      <c r="C36" s="16"/>
      <c r="D36" s="114"/>
      <c r="E36" s="206"/>
      <c r="F36" s="261" t="s">
        <v>298</v>
      </c>
      <c r="G36" s="114"/>
      <c r="H36" s="16"/>
      <c r="I36" s="16"/>
      <c r="J36" s="16"/>
    </row>
    <row r="37" spans="1:10" ht="15" x14ac:dyDescent="0.25">
      <c r="D37" s="1"/>
      <c r="E37" s="207"/>
      <c r="F37" s="261" t="s">
        <v>299</v>
      </c>
      <c r="G37" s="114"/>
      <c r="H37" s="16"/>
      <c r="I37" s="16"/>
      <c r="J37" s="16"/>
    </row>
    <row r="38" spans="1:10" ht="15" x14ac:dyDescent="0.25">
      <c r="A38" s="16"/>
      <c r="B38" s="16"/>
      <c r="C38" s="16"/>
      <c r="D38" s="114"/>
      <c r="E38" s="206"/>
      <c r="F38" s="261" t="s">
        <v>300</v>
      </c>
      <c r="G38" s="114"/>
      <c r="H38" s="16"/>
      <c r="I38" s="16"/>
      <c r="J38" s="16"/>
    </row>
    <row r="39" spans="1:10" ht="15" x14ac:dyDescent="0.25">
      <c r="A39" s="16"/>
      <c r="B39" s="16"/>
      <c r="C39" s="16"/>
      <c r="D39" s="114"/>
      <c r="E39" s="206"/>
      <c r="F39" s="261" t="s">
        <v>301</v>
      </c>
      <c r="G39" s="114"/>
      <c r="H39" s="16"/>
      <c r="I39" s="16"/>
      <c r="J39" s="16"/>
    </row>
    <row r="40" spans="1:10" ht="15" x14ac:dyDescent="0.25">
      <c r="D40" s="1"/>
      <c r="E40" s="207"/>
      <c r="G40" s="114"/>
      <c r="H40" s="16"/>
      <c r="I40" s="16"/>
      <c r="J40" s="16"/>
    </row>
    <row r="41" spans="1:10" ht="15" x14ac:dyDescent="0.25">
      <c r="A41" s="16"/>
      <c r="B41" s="16"/>
      <c r="C41" s="16"/>
      <c r="D41" s="114"/>
      <c r="E41" s="206"/>
      <c r="F41" s="16"/>
      <c r="G41" s="114"/>
      <c r="H41" s="16"/>
      <c r="I41" s="16"/>
      <c r="J41" s="16"/>
    </row>
    <row r="42" spans="1:10" ht="109.5" customHeight="1" x14ac:dyDescent="0.2">
      <c r="A42" s="272" t="s">
        <v>280</v>
      </c>
      <c r="B42" s="280"/>
      <c r="C42" s="280"/>
      <c r="D42" s="280"/>
      <c r="E42" s="279" t="s">
        <v>247</v>
      </c>
      <c r="F42" s="279"/>
      <c r="G42" s="286" t="s">
        <v>194</v>
      </c>
      <c r="H42" s="287"/>
      <c r="I42" s="287"/>
      <c r="J42" s="287"/>
    </row>
    <row r="43" spans="1:10" s="63" customFormat="1" ht="15" x14ac:dyDescent="0.2">
      <c r="A43" s="116"/>
      <c r="B43" s="117"/>
      <c r="C43" s="117"/>
      <c r="D43" s="146"/>
      <c r="E43" s="118"/>
      <c r="F43" s="118"/>
      <c r="G43" s="119"/>
      <c r="H43" s="120"/>
      <c r="I43" s="120"/>
      <c r="J43" s="120"/>
    </row>
    <row r="44" spans="1:10" ht="15" x14ac:dyDescent="0.25">
      <c r="A44" s="16"/>
      <c r="B44" s="16"/>
      <c r="C44" s="16"/>
      <c r="D44" s="114"/>
      <c r="E44" s="16"/>
      <c r="F44" s="16"/>
      <c r="G44" s="114"/>
      <c r="H44" s="16"/>
      <c r="I44" s="16"/>
      <c r="J44" s="16"/>
    </row>
    <row r="45" spans="1:10" ht="30" customHeight="1" x14ac:dyDescent="0.2">
      <c r="A45" s="272" t="s">
        <v>179</v>
      </c>
      <c r="B45" s="272"/>
      <c r="C45" s="272"/>
      <c r="D45" s="272"/>
      <c r="E45" s="273" t="s">
        <v>309</v>
      </c>
      <c r="F45" s="273"/>
      <c r="G45" s="274" t="str">
        <f>VLOOKUP(E45,'Hulp Blad'!C67:F71,4,FALSE)</f>
        <v xml:space="preserve">Een bouwkundige moet de noodzaak en de eventuele kosten voor de aanpassing van de zolder constructie bepalen. </v>
      </c>
      <c r="H45" s="274"/>
      <c r="I45" s="274"/>
      <c r="J45" s="274"/>
    </row>
    <row r="46" spans="1:10" ht="30" customHeight="1" x14ac:dyDescent="0.2">
      <c r="A46" s="272"/>
      <c r="B46" s="272"/>
      <c r="C46" s="272"/>
      <c r="D46" s="272"/>
      <c r="E46" s="273"/>
      <c r="F46" s="273"/>
      <c r="G46" s="274"/>
      <c r="H46" s="274"/>
      <c r="I46" s="274"/>
      <c r="J46" s="274"/>
    </row>
    <row r="47" spans="1:10" ht="30" customHeight="1" x14ac:dyDescent="0.2">
      <c r="A47" s="272"/>
      <c r="B47" s="272"/>
      <c r="C47" s="272"/>
      <c r="D47" s="272"/>
      <c r="E47" s="273"/>
      <c r="F47" s="273"/>
      <c r="G47" s="274"/>
      <c r="H47" s="274"/>
      <c r="I47" s="274"/>
      <c r="J47" s="274"/>
    </row>
    <row r="48" spans="1:10" ht="15" customHeight="1" x14ac:dyDescent="0.25">
      <c r="A48" s="16"/>
      <c r="B48" s="16"/>
      <c r="C48" s="16"/>
      <c r="D48" s="114"/>
      <c r="E48" s="16"/>
      <c r="F48" s="16"/>
      <c r="G48" s="114"/>
      <c r="H48" s="16"/>
      <c r="I48" s="16"/>
      <c r="J48" s="16"/>
    </row>
    <row r="49" spans="1:11" ht="15" customHeight="1" x14ac:dyDescent="0.25">
      <c r="A49" s="16"/>
      <c r="B49" s="16"/>
      <c r="C49" s="16"/>
      <c r="D49" s="114"/>
      <c r="E49" s="16"/>
      <c r="F49" s="16"/>
      <c r="G49" s="114"/>
      <c r="H49" s="16"/>
      <c r="I49" s="16"/>
      <c r="J49" s="16"/>
    </row>
    <row r="50" spans="1:11" ht="15" customHeight="1" x14ac:dyDescent="0.25">
      <c r="A50" s="16"/>
      <c r="B50" s="16"/>
      <c r="C50" s="16"/>
      <c r="D50" s="114"/>
      <c r="E50" s="16"/>
      <c r="F50" s="1" t="s">
        <v>109</v>
      </c>
      <c r="G50" s="114"/>
      <c r="H50" s="16"/>
      <c r="I50" s="16"/>
      <c r="J50" s="16"/>
    </row>
    <row r="51" spans="1:11" ht="15" customHeight="1" x14ac:dyDescent="0.2">
      <c r="A51" s="282" t="s">
        <v>170</v>
      </c>
      <c r="B51" s="282"/>
      <c r="C51" s="282"/>
      <c r="D51" s="279" t="s">
        <v>172</v>
      </c>
      <c r="E51" s="279"/>
      <c r="F51" s="283" t="str">
        <f>VLOOKUP(D51,'Hulp Blad'!C86:E87,2,FALSE)</f>
        <v xml:space="preserve">Alleen de radiator hoeft te worden vervangen. </v>
      </c>
      <c r="G51" s="294" t="s">
        <v>308</v>
      </c>
      <c r="H51" s="294"/>
      <c r="I51" s="294"/>
      <c r="J51" s="294"/>
    </row>
    <row r="52" spans="1:11" ht="15" customHeight="1" x14ac:dyDescent="0.2">
      <c r="A52" s="282"/>
      <c r="B52" s="282"/>
      <c r="C52" s="282"/>
      <c r="D52" s="279"/>
      <c r="E52" s="279"/>
      <c r="F52" s="283"/>
      <c r="G52" s="294"/>
      <c r="H52" s="294"/>
      <c r="I52" s="294"/>
      <c r="J52" s="294"/>
    </row>
    <row r="53" spans="1:11" s="63" customFormat="1" x14ac:dyDescent="0.2">
      <c r="A53" s="282"/>
      <c r="B53" s="282"/>
      <c r="C53" s="282"/>
      <c r="D53" s="279"/>
      <c r="E53" s="279"/>
      <c r="F53" s="283"/>
      <c r="G53" s="153" t="s">
        <v>168</v>
      </c>
      <c r="H53" s="154">
        <f>MAX(H111,H112)</f>
        <v>750</v>
      </c>
      <c r="I53" s="154">
        <f>H53</f>
        <v>750</v>
      </c>
      <c r="J53" s="155" t="s">
        <v>128</v>
      </c>
    </row>
    <row r="54" spans="1:11" ht="15" customHeight="1" x14ac:dyDescent="0.25">
      <c r="A54" s="16"/>
      <c r="B54" s="16"/>
      <c r="C54" s="16"/>
      <c r="D54" s="114"/>
      <c r="G54" s="114"/>
      <c r="H54" s="16"/>
      <c r="I54" s="16"/>
      <c r="J54" s="16"/>
    </row>
    <row r="55" spans="1:11" ht="15" customHeight="1" x14ac:dyDescent="0.25">
      <c r="A55" s="280" t="s">
        <v>306</v>
      </c>
      <c r="B55" s="280"/>
      <c r="C55" s="280"/>
      <c r="D55" s="273">
        <v>1</v>
      </c>
      <c r="E55" s="273"/>
      <c r="F55" s="275" t="s">
        <v>316</v>
      </c>
      <c r="G55" s="114"/>
      <c r="H55" s="16"/>
      <c r="I55" s="16"/>
      <c r="J55" s="16"/>
    </row>
    <row r="56" spans="1:11" ht="15.75" customHeight="1" x14ac:dyDescent="0.25">
      <c r="A56" s="280"/>
      <c r="B56" s="280"/>
      <c r="C56" s="280"/>
      <c r="D56" s="273"/>
      <c r="E56" s="273"/>
      <c r="F56" s="275"/>
      <c r="G56" s="114"/>
      <c r="H56" s="16"/>
      <c r="I56" s="16"/>
      <c r="J56" s="16"/>
    </row>
    <row r="57" spans="1:11" ht="15" customHeight="1" x14ac:dyDescent="0.25">
      <c r="A57" s="206"/>
      <c r="B57" s="206"/>
      <c r="C57" s="206"/>
      <c r="D57" s="212"/>
      <c r="E57" s="207"/>
      <c r="F57" s="207"/>
      <c r="G57" s="212"/>
      <c r="H57" s="206"/>
      <c r="I57" s="206"/>
      <c r="J57" s="206"/>
      <c r="K57" s="207"/>
    </row>
    <row r="58" spans="1:11" ht="15" customHeight="1" x14ac:dyDescent="0.25">
      <c r="A58" s="206"/>
      <c r="B58" s="206"/>
      <c r="C58" s="206"/>
      <c r="D58" s="212"/>
      <c r="E58" s="207"/>
      <c r="F58" s="207"/>
      <c r="G58" s="212"/>
      <c r="H58" s="206"/>
      <c r="I58" s="206"/>
      <c r="J58" s="206"/>
      <c r="K58" s="207"/>
    </row>
    <row r="59" spans="1:11" ht="15" customHeight="1" x14ac:dyDescent="0.25">
      <c r="A59" s="206"/>
      <c r="B59" s="206"/>
      <c r="C59" s="206"/>
      <c r="D59" s="212"/>
      <c r="E59" s="207"/>
      <c r="F59" s="207"/>
      <c r="G59" s="212"/>
      <c r="H59" s="206"/>
      <c r="I59" s="206"/>
      <c r="J59" s="206"/>
      <c r="K59" s="207"/>
    </row>
    <row r="60" spans="1:11" ht="15" customHeight="1" x14ac:dyDescent="0.25">
      <c r="A60" s="206"/>
      <c r="B60" s="206"/>
      <c r="C60" s="206"/>
      <c r="D60" s="212"/>
      <c r="E60" s="206"/>
      <c r="F60" s="207" t="s">
        <v>109</v>
      </c>
      <c r="G60" s="212"/>
      <c r="H60" s="206"/>
      <c r="I60" s="206"/>
      <c r="J60" s="206"/>
      <c r="K60" s="207"/>
    </row>
    <row r="61" spans="1:11" ht="14.25" customHeight="1" x14ac:dyDescent="0.25">
      <c r="A61" s="281" t="s">
        <v>153</v>
      </c>
      <c r="B61" s="281"/>
      <c r="C61" s="273" t="s">
        <v>154</v>
      </c>
      <c r="D61" s="273"/>
      <c r="E61" s="273"/>
      <c r="F61" s="289" t="str">
        <f>VLOOKUP(C61,'Hulp Blad'!C80:D82,2,FALSE)</f>
        <v xml:space="preserve">Investeren in een inductie kookplaat en nieuwe pannenset.    
Of:  Investeren in een elektrische kookplaat, dan zijn er geen nieuwe pannen nodig, maar die reageren heel traag en dat kookt niet prettig. 
Let op:  een inductie kookplaat is niet geschikt voor mensen met een pacemaker. </v>
      </c>
      <c r="G61" s="212"/>
      <c r="H61" s="206"/>
      <c r="I61" s="206"/>
      <c r="J61" s="206"/>
      <c r="K61" s="207"/>
    </row>
    <row r="62" spans="1:11" ht="14.25" customHeight="1" x14ac:dyDescent="0.25">
      <c r="A62" s="281"/>
      <c r="B62" s="281"/>
      <c r="C62" s="273"/>
      <c r="D62" s="273"/>
      <c r="E62" s="273"/>
      <c r="F62" s="289"/>
      <c r="G62" s="212"/>
      <c r="H62" s="206"/>
      <c r="I62" s="206"/>
      <c r="J62" s="206"/>
      <c r="K62" s="207"/>
    </row>
    <row r="63" spans="1:11" ht="14.25" customHeight="1" x14ac:dyDescent="0.25">
      <c r="A63" s="281"/>
      <c r="B63" s="281"/>
      <c r="C63" s="273"/>
      <c r="D63" s="273"/>
      <c r="E63" s="273"/>
      <c r="F63" s="289"/>
      <c r="G63" s="212"/>
      <c r="H63" s="206"/>
      <c r="I63" s="206"/>
      <c r="J63" s="206"/>
      <c r="K63" s="207"/>
    </row>
    <row r="64" spans="1:11" ht="14.25" customHeight="1" x14ac:dyDescent="0.25">
      <c r="A64" s="281"/>
      <c r="B64" s="281"/>
      <c r="C64" s="273"/>
      <c r="D64" s="273"/>
      <c r="E64" s="273"/>
      <c r="F64" s="289"/>
      <c r="G64" s="212"/>
      <c r="H64" s="206"/>
      <c r="I64" s="206"/>
      <c r="J64" s="206"/>
      <c r="K64" s="207"/>
    </row>
    <row r="65" spans="1:13" ht="15" customHeight="1" x14ac:dyDescent="0.25">
      <c r="A65" s="281"/>
      <c r="B65" s="281"/>
      <c r="C65" s="273"/>
      <c r="D65" s="273"/>
      <c r="E65" s="273"/>
      <c r="F65" s="289"/>
      <c r="G65" s="212"/>
      <c r="H65" s="206"/>
      <c r="I65" s="206"/>
      <c r="J65" s="206"/>
      <c r="K65" s="207"/>
    </row>
    <row r="66" spans="1:13" ht="15" customHeight="1" x14ac:dyDescent="0.25">
      <c r="A66" s="281"/>
      <c r="B66" s="281"/>
      <c r="C66" s="273"/>
      <c r="D66" s="273"/>
      <c r="E66" s="273"/>
      <c r="F66" s="289"/>
      <c r="G66" s="212"/>
      <c r="H66" s="206"/>
      <c r="I66" s="206"/>
      <c r="J66" s="206"/>
      <c r="K66" s="207"/>
    </row>
    <row r="67" spans="1:13" ht="15" x14ac:dyDescent="0.25">
      <c r="A67" s="281"/>
      <c r="B67" s="281"/>
      <c r="C67" s="273"/>
      <c r="D67" s="273"/>
      <c r="E67" s="273"/>
      <c r="F67" s="289"/>
      <c r="G67" s="212"/>
      <c r="H67" s="206"/>
      <c r="I67" s="206"/>
      <c r="J67" s="206"/>
      <c r="K67" s="207"/>
    </row>
    <row r="68" spans="1:13" ht="15" x14ac:dyDescent="0.25">
      <c r="A68" s="206"/>
      <c r="B68" s="206"/>
      <c r="C68" s="206"/>
      <c r="D68" s="212"/>
      <c r="E68" s="206"/>
      <c r="F68" s="268"/>
      <c r="G68" s="212"/>
      <c r="H68" s="206"/>
      <c r="I68" s="206"/>
      <c r="J68" s="206"/>
      <c r="K68" s="207"/>
    </row>
    <row r="69" spans="1:13" ht="15" x14ac:dyDescent="0.25">
      <c r="A69" s="206"/>
      <c r="B69" s="206"/>
      <c r="C69" s="206"/>
      <c r="D69" s="212"/>
      <c r="E69" s="206"/>
      <c r="F69" s="268"/>
      <c r="G69" s="212"/>
      <c r="H69" s="206"/>
      <c r="I69" s="206"/>
      <c r="J69" s="207"/>
      <c r="K69" s="207"/>
    </row>
    <row r="70" spans="1:13" ht="24" customHeight="1" x14ac:dyDescent="0.25">
      <c r="A70" s="292" t="str">
        <f>VLOOKUP($E$42,'Hulp Blad'!$C$53:$K$58,8,FALSE)</f>
        <v>De vloer begane grond moet worden verhoogd.   De keuken moet dan ook worden verhoogd, of vervangen.</v>
      </c>
      <c r="B70" s="292"/>
      <c r="C70" s="292"/>
      <c r="D70" s="292"/>
      <c r="E70" s="292"/>
      <c r="F70" s="292"/>
      <c r="H70" s="64"/>
      <c r="I70" s="64"/>
      <c r="J70" s="64"/>
      <c r="K70" s="64"/>
      <c r="L70" s="64"/>
      <c r="M70" s="64"/>
    </row>
    <row r="71" spans="1:13" ht="15" customHeight="1" x14ac:dyDescent="0.2">
      <c r="A71" s="291" t="s">
        <v>204</v>
      </c>
      <c r="B71" s="291"/>
      <c r="C71" s="291"/>
      <c r="D71" s="291"/>
      <c r="E71" s="291"/>
      <c r="F71" s="290" t="s">
        <v>198</v>
      </c>
      <c r="G71" s="294" t="s">
        <v>212</v>
      </c>
      <c r="H71" s="294"/>
      <c r="I71" s="294"/>
      <c r="J71" s="294"/>
    </row>
    <row r="72" spans="1:13" ht="15" customHeight="1" x14ac:dyDescent="0.2">
      <c r="A72" s="291"/>
      <c r="B72" s="291"/>
      <c r="C72" s="291"/>
      <c r="D72" s="291"/>
      <c r="E72" s="291"/>
      <c r="F72" s="290"/>
      <c r="G72" s="294"/>
      <c r="H72" s="294"/>
      <c r="I72" s="294"/>
      <c r="J72" s="294"/>
    </row>
    <row r="73" spans="1:13" x14ac:dyDescent="0.2">
      <c r="A73" s="291"/>
      <c r="B73" s="291"/>
      <c r="C73" s="291"/>
      <c r="D73" s="291"/>
      <c r="E73" s="291"/>
      <c r="F73" s="290"/>
      <c r="G73" s="153" t="s">
        <v>168</v>
      </c>
      <c r="H73" s="154">
        <f>MAX(H121,H125)</f>
        <v>750</v>
      </c>
      <c r="I73" s="154">
        <f>H73</f>
        <v>750</v>
      </c>
      <c r="J73" s="155" t="s">
        <v>128</v>
      </c>
    </row>
    <row r="74" spans="1:13" ht="15" x14ac:dyDescent="0.25">
      <c r="A74" s="16"/>
      <c r="B74" s="16"/>
      <c r="C74" s="16"/>
      <c r="D74" s="114"/>
      <c r="E74" s="16"/>
      <c r="F74" s="148"/>
      <c r="G74" s="114"/>
      <c r="H74" s="16"/>
      <c r="I74" s="16"/>
      <c r="J74" s="16"/>
    </row>
    <row r="75" spans="1:13" ht="15" x14ac:dyDescent="0.25">
      <c r="A75" s="16"/>
      <c r="B75" s="16"/>
      <c r="C75" s="16"/>
      <c r="D75" s="114"/>
      <c r="E75" s="16"/>
      <c r="F75" s="148"/>
      <c r="G75" s="114"/>
      <c r="H75" s="16"/>
      <c r="I75" s="16"/>
      <c r="J75" s="16"/>
    </row>
    <row r="76" spans="1:13" ht="15" x14ac:dyDescent="0.25">
      <c r="A76" s="16"/>
      <c r="B76" s="16"/>
      <c r="C76" s="16"/>
      <c r="D76" s="114"/>
      <c r="E76" s="16"/>
      <c r="F76" s="148"/>
      <c r="G76" s="114"/>
      <c r="H76" s="16"/>
      <c r="I76" s="16"/>
      <c r="J76" s="16"/>
    </row>
    <row r="77" spans="1:13" ht="33" customHeight="1" x14ac:dyDescent="0.35">
      <c r="A77" s="300" t="s">
        <v>304</v>
      </c>
      <c r="B77" s="301"/>
      <c r="C77" s="301"/>
      <c r="D77" s="301"/>
      <c r="E77" s="301"/>
      <c r="F77" s="301"/>
      <c r="G77" s="301"/>
      <c r="H77" s="301"/>
      <c r="I77" s="301"/>
      <c r="J77" s="302"/>
    </row>
    <row r="78" spans="1:13" ht="15" x14ac:dyDescent="0.25">
      <c r="A78" s="16"/>
      <c r="B78" s="16"/>
      <c r="C78" s="2"/>
      <c r="D78" s="114"/>
      <c r="E78" s="85"/>
      <c r="F78" s="5"/>
      <c r="G78" s="114"/>
      <c r="H78" s="16"/>
      <c r="I78" s="16"/>
      <c r="J78" s="16"/>
    </row>
    <row r="79" spans="1:13" ht="18" x14ac:dyDescent="0.25">
      <c r="A79" s="298" t="s">
        <v>177</v>
      </c>
      <c r="B79" s="298"/>
      <c r="C79" s="298"/>
      <c r="D79" s="298"/>
      <c r="E79" s="298"/>
      <c r="F79" s="298"/>
      <c r="G79" s="298"/>
      <c r="H79" s="298"/>
      <c r="I79" s="298"/>
      <c r="J79" s="298"/>
    </row>
    <row r="80" spans="1:13" s="4" customFormat="1" ht="15" customHeight="1" x14ac:dyDescent="0.25">
      <c r="A80" s="5"/>
      <c r="B80" s="25" t="s">
        <v>53</v>
      </c>
      <c r="C80" s="64"/>
      <c r="D80" s="86"/>
      <c r="E80" s="5"/>
      <c r="F80" s="5"/>
      <c r="G80" s="86" t="s">
        <v>168</v>
      </c>
      <c r="H80" s="87">
        <v>500</v>
      </c>
      <c r="I80" s="87">
        <f>MROUND(H80,50)</f>
        <v>500</v>
      </c>
      <c r="J80" s="88" t="s">
        <v>128</v>
      </c>
    </row>
    <row r="81" spans="1:11" s="4" customFormat="1" ht="15" customHeight="1" x14ac:dyDescent="0.25">
      <c r="A81" s="5"/>
      <c r="B81" s="25" t="s">
        <v>73</v>
      </c>
      <c r="C81" s="64"/>
      <c r="D81" s="86"/>
      <c r="E81" s="5"/>
      <c r="F81" s="5"/>
      <c r="G81" s="86" t="s">
        <v>168</v>
      </c>
      <c r="H81" s="87">
        <f>'Gegevens Model Woning'!D17/'Gegevens Model Woning'!G8*'Hulp Blad'!D31</f>
        <v>9562.841530054644</v>
      </c>
      <c r="I81" s="87">
        <f t="shared" ref="I81:I85" si="0">MROUND(H81,50)</f>
        <v>9550</v>
      </c>
      <c r="J81" s="88" t="s">
        <v>128</v>
      </c>
    </row>
    <row r="82" spans="1:11" s="4" customFormat="1" ht="15" customHeight="1" x14ac:dyDescent="0.25">
      <c r="A82" s="5"/>
      <c r="B82" s="25" t="s">
        <v>5</v>
      </c>
      <c r="C82" s="64"/>
      <c r="D82" s="86"/>
      <c r="E82" s="5"/>
      <c r="F82" s="5"/>
      <c r="G82" s="86" t="s">
        <v>168</v>
      </c>
      <c r="H82" s="87">
        <f>'Gegevens Model Woning'!D19</f>
        <v>265</v>
      </c>
      <c r="I82" s="87">
        <f t="shared" si="0"/>
        <v>250</v>
      </c>
      <c r="J82" s="88" t="s">
        <v>128</v>
      </c>
    </row>
    <row r="83" spans="1:11" s="4" customFormat="1" ht="15" customHeight="1" x14ac:dyDescent="0.25">
      <c r="A83" s="5"/>
      <c r="B83" s="25" t="s">
        <v>7</v>
      </c>
      <c r="C83" s="64"/>
      <c r="D83" s="86"/>
      <c r="E83" s="5"/>
      <c r="F83" s="5"/>
      <c r="G83" s="86" t="s">
        <v>168</v>
      </c>
      <c r="H83" s="87">
        <f>'Gegevens Model Woning'!D20</f>
        <v>100</v>
      </c>
      <c r="I83" s="87">
        <f t="shared" si="0"/>
        <v>100</v>
      </c>
      <c r="J83" s="88" t="s">
        <v>128</v>
      </c>
    </row>
    <row r="84" spans="1:11" s="4" customFormat="1" ht="15" customHeight="1" x14ac:dyDescent="0.25">
      <c r="A84" s="5"/>
      <c r="B84" s="25" t="s">
        <v>8</v>
      </c>
      <c r="C84" s="64"/>
      <c r="D84" s="86"/>
      <c r="E84" s="5"/>
      <c r="F84" s="5"/>
      <c r="G84" s="86" t="s">
        <v>168</v>
      </c>
      <c r="H84" s="87">
        <f>'Gegevens Model Woning'!D21/'Gegevens Model Woning'!G8*'Hulp Blad'!D31</f>
        <v>239.07103825136613</v>
      </c>
      <c r="I84" s="87">
        <f t="shared" si="0"/>
        <v>250</v>
      </c>
      <c r="J84" s="88" t="s">
        <v>128</v>
      </c>
    </row>
    <row r="85" spans="1:11" s="4" customFormat="1" ht="15" customHeight="1" x14ac:dyDescent="0.25">
      <c r="A85" s="5"/>
      <c r="B85" s="25" t="s">
        <v>196</v>
      </c>
      <c r="C85" s="64"/>
      <c r="D85" s="86"/>
      <c r="E85" s="5"/>
      <c r="F85" s="5"/>
      <c r="G85" s="86" t="s">
        <v>168</v>
      </c>
      <c r="H85" s="87">
        <f>'Hulp Blad'!D31*'Gegevens Model Woning'!D22/'Gegevens Model Woning'!G9</f>
        <v>967.02891876957085</v>
      </c>
      <c r="I85" s="87">
        <f t="shared" si="0"/>
        <v>950</v>
      </c>
      <c r="J85" s="88" t="s">
        <v>128</v>
      </c>
    </row>
    <row r="86" spans="1:11" s="4" customFormat="1" ht="15" customHeight="1" x14ac:dyDescent="0.25">
      <c r="A86" s="25"/>
      <c r="B86" s="64"/>
      <c r="C86" s="64"/>
      <c r="D86" s="86"/>
      <c r="E86" s="87"/>
      <c r="F86" s="5"/>
      <c r="G86" s="86"/>
      <c r="H86" s="5"/>
      <c r="I86" s="5"/>
      <c r="J86" s="5"/>
    </row>
    <row r="87" spans="1:11" s="4" customFormat="1" ht="15" customHeight="1" x14ac:dyDescent="0.25">
      <c r="A87" s="25"/>
      <c r="B87" s="64"/>
      <c r="C87" s="64"/>
      <c r="D87" s="86"/>
      <c r="E87" s="87"/>
      <c r="F87" s="5"/>
      <c r="G87" s="86"/>
      <c r="H87" s="5"/>
      <c r="I87" s="5"/>
      <c r="J87" s="5"/>
    </row>
    <row r="88" spans="1:11" s="4" customFormat="1" ht="18" x14ac:dyDescent="0.25">
      <c r="A88" s="298" t="s">
        <v>233</v>
      </c>
      <c r="B88" s="298"/>
      <c r="C88" s="298"/>
      <c r="D88" s="298"/>
      <c r="E88" s="298"/>
      <c r="F88" s="298"/>
      <c r="G88" s="298"/>
      <c r="H88" s="298"/>
      <c r="I88" s="298"/>
      <c r="J88" s="298"/>
    </row>
    <row r="89" spans="1:11" s="14" customFormat="1" ht="15" customHeight="1" x14ac:dyDescent="0.25">
      <c r="A89" s="156"/>
      <c r="B89" s="156"/>
      <c r="C89" s="156"/>
      <c r="D89" s="157"/>
      <c r="E89" s="156"/>
      <c r="F89" s="158"/>
      <c r="G89" s="159" t="s">
        <v>235</v>
      </c>
      <c r="H89" s="160">
        <f>VLOOKUP(E42,'Hulp Blad'!C53:E58,2,FALSE)*VLOOKUP($E$19,'Hulp Blad'!$B$5:$E$8,3,FALSE)</f>
        <v>3</v>
      </c>
      <c r="I89" s="160">
        <f>H89</f>
        <v>3</v>
      </c>
      <c r="J89" s="161" t="s">
        <v>237</v>
      </c>
    </row>
    <row r="90" spans="1:11" s="4" customFormat="1" ht="15" customHeight="1" x14ac:dyDescent="0.25">
      <c r="A90" s="5"/>
      <c r="B90" s="89" t="s">
        <v>126</v>
      </c>
      <c r="C90" s="64"/>
      <c r="D90" s="86"/>
      <c r="E90" s="5"/>
      <c r="F90" s="5"/>
      <c r="G90" s="86" t="s">
        <v>168</v>
      </c>
      <c r="H90" s="90">
        <f>'Hulp Blad'!$D$61*'Gegevens Model Woning'!G25*VLOOKUP($E$19,'Hulp Blad'!$B$5:$E$8,3,FALSE)</f>
        <v>4200</v>
      </c>
      <c r="I90" s="87">
        <f t="shared" ref="I90:I96" si="1">MROUND(H90,50)</f>
        <v>4200</v>
      </c>
      <c r="J90" s="88" t="s">
        <v>128</v>
      </c>
    </row>
    <row r="91" spans="1:11" s="4" customFormat="1" ht="15" customHeight="1" x14ac:dyDescent="0.25">
      <c r="A91" s="5"/>
      <c r="B91" s="25" t="s">
        <v>319</v>
      </c>
      <c r="C91" s="64"/>
      <c r="D91" s="86"/>
      <c r="E91" s="5"/>
      <c r="F91" s="5"/>
      <c r="G91" s="86" t="s">
        <v>168</v>
      </c>
      <c r="H91" s="90">
        <f>'Hulp Blad'!D61*'Gegevens Model Woning'!G26*VLOOKUP($E$19,'Hulp Blad'!$B$5:$E$8,3,FALSE)</f>
        <v>4900</v>
      </c>
      <c r="I91" s="87">
        <f t="shared" si="1"/>
        <v>4900</v>
      </c>
      <c r="J91" s="88" t="s">
        <v>128</v>
      </c>
    </row>
    <row r="92" spans="1:11" s="4" customFormat="1" ht="15" customHeight="1" x14ac:dyDescent="0.25">
      <c r="A92" s="5"/>
      <c r="B92" s="25" t="s">
        <v>320</v>
      </c>
      <c r="C92" s="64"/>
      <c r="D92" s="86"/>
      <c r="E92" s="5"/>
      <c r="F92" s="5"/>
      <c r="G92" s="86" t="s">
        <v>168</v>
      </c>
      <c r="H92" s="90">
        <f>'Hulp Blad'!D61*'Gegevens Model Woning'!G27*VLOOKUP($E$19,'Hulp Blad'!$B$5:$E$8,3,FALSE)</f>
        <v>8400</v>
      </c>
      <c r="I92" s="87">
        <f t="shared" si="1"/>
        <v>8400</v>
      </c>
      <c r="J92" s="88" t="s">
        <v>128</v>
      </c>
    </row>
    <row r="93" spans="1:11" s="4" customFormat="1" ht="15" customHeight="1" x14ac:dyDescent="0.25">
      <c r="A93" s="5"/>
      <c r="B93" s="25" t="s">
        <v>318</v>
      </c>
      <c r="C93" s="64"/>
      <c r="D93" s="86"/>
      <c r="E93" s="5"/>
      <c r="F93" s="5"/>
      <c r="G93" s="86" t="s">
        <v>168</v>
      </c>
      <c r="H93" s="90">
        <f>VLOOKUP(E24,'Hulp Blad'!B12:E15,3,FALSE)*H89*'Gegevens Model Woning'!G28/'Gegevens Model Woning'!I28*VLOOKUP($E$24,'Hulp Blad'!$B$12:$M$15,11,FALSE)*VLOOKUP($E$19,'Hulp Blad'!$B$5:$E$8,3,FALSE)</f>
        <v>675</v>
      </c>
      <c r="I93" s="87">
        <f t="shared" si="1"/>
        <v>700</v>
      </c>
      <c r="J93" s="88" t="s">
        <v>128</v>
      </c>
    </row>
    <row r="94" spans="1:11" s="4" customFormat="1" ht="15" customHeight="1" x14ac:dyDescent="0.25">
      <c r="A94" s="5"/>
      <c r="B94" s="25" t="s">
        <v>321</v>
      </c>
      <c r="C94" s="64"/>
      <c r="D94" s="86"/>
      <c r="E94" s="5"/>
      <c r="F94" s="5"/>
      <c r="G94" s="86" t="s">
        <v>168</v>
      </c>
      <c r="H94" s="90">
        <f>'Gegevens Model Woning'!G29*'Hulp Blad'!D61*VLOOKUP($E$24,'Hulp Blad'!$B$12:$M$15,11,FALSE)*VLOOKUP($E$19,'Hulp Blad'!$B$5:$E$8,3,FALSE)</f>
        <v>1934.0578375391417</v>
      </c>
      <c r="I94" s="87">
        <f t="shared" si="1"/>
        <v>1950</v>
      </c>
      <c r="J94" s="88" t="s">
        <v>128</v>
      </c>
      <c r="K94" s="190"/>
    </row>
    <row r="95" spans="1:11" s="4" customFormat="1" ht="15" customHeight="1" x14ac:dyDescent="0.25">
      <c r="A95" s="5"/>
      <c r="B95" s="25" t="s">
        <v>322</v>
      </c>
      <c r="C95" s="64"/>
      <c r="D95" s="86"/>
      <c r="E95" s="5"/>
      <c r="F95" s="5"/>
      <c r="G95" s="86" t="s">
        <v>168</v>
      </c>
      <c r="H95" s="90">
        <f>'Hulp Blad'!D61*'Gegevens Model Woning'!G30*VLOOKUP($E$19,'Hulp Blad'!$B$5:$E$8,3,FALSE)</f>
        <v>644.6859458463806</v>
      </c>
      <c r="I95" s="87">
        <f t="shared" si="1"/>
        <v>650</v>
      </c>
      <c r="J95" s="88" t="s">
        <v>128</v>
      </c>
    </row>
    <row r="96" spans="1:11" s="4" customFormat="1" ht="15" customHeight="1" x14ac:dyDescent="0.25">
      <c r="A96" s="5"/>
      <c r="B96" s="25" t="s">
        <v>246</v>
      </c>
      <c r="C96" s="64"/>
      <c r="D96" s="86"/>
      <c r="E96" s="5"/>
      <c r="F96" s="5"/>
      <c r="G96" s="86" t="s">
        <v>168</v>
      </c>
      <c r="H96" s="90">
        <f>'Hulp Blad'!D61*'Gegevens Model Woning'!G31*VLOOKUP($E$19,'Hulp Blad'!$B$5:$E$8,3,FALSE)</f>
        <v>1289.3718916927612</v>
      </c>
      <c r="I96" s="87">
        <f t="shared" si="1"/>
        <v>1300</v>
      </c>
      <c r="J96" s="88" t="s">
        <v>128</v>
      </c>
    </row>
    <row r="97" spans="1:11" s="4" customFormat="1" ht="15" customHeight="1" x14ac:dyDescent="0.25">
      <c r="A97" s="91" t="s">
        <v>54</v>
      </c>
      <c r="B97" s="64"/>
      <c r="C97" s="64"/>
      <c r="D97" s="86"/>
      <c r="E97" s="87"/>
      <c r="F97" s="5"/>
      <c r="G97" s="86"/>
      <c r="H97" s="5"/>
      <c r="I97" s="5"/>
      <c r="J97" s="5"/>
    </row>
    <row r="98" spans="1:11" s="4" customFormat="1" ht="15" customHeight="1" x14ac:dyDescent="0.25">
      <c r="A98" s="91"/>
      <c r="B98" s="64"/>
      <c r="C98" s="64"/>
      <c r="D98" s="86"/>
      <c r="E98" s="87"/>
      <c r="F98" s="5"/>
      <c r="G98" s="86"/>
      <c r="H98" s="5"/>
      <c r="I98" s="5"/>
      <c r="J98" s="5"/>
    </row>
    <row r="99" spans="1:11" s="4" customFormat="1" ht="18" x14ac:dyDescent="0.25">
      <c r="A99" s="262" t="s">
        <v>141</v>
      </c>
      <c r="B99" s="47"/>
      <c r="C99" s="47"/>
      <c r="D99" s="78"/>
      <c r="E99" s="47"/>
      <c r="F99" s="47"/>
      <c r="G99" s="86"/>
      <c r="H99" s="5"/>
      <c r="I99" s="5"/>
      <c r="J99" s="5"/>
    </row>
    <row r="100" spans="1:11" s="14" customFormat="1" ht="15" customHeight="1" x14ac:dyDescent="0.25">
      <c r="A100" s="162"/>
      <c r="B100" s="151"/>
      <c r="C100" s="162"/>
      <c r="D100" s="157"/>
      <c r="E100" s="162"/>
      <c r="F100" s="158"/>
      <c r="G100" s="159" t="s">
        <v>236</v>
      </c>
      <c r="H100" s="160">
        <f>VLOOKUP(E42,'Hulp Blad'!C53:G58,4,FALSE)*VLOOKUP($E$19,'Hulp Blad'!$B$5:$E$8,3,FALSE)</f>
        <v>0</v>
      </c>
      <c r="I100" s="160">
        <f>H100</f>
        <v>0</v>
      </c>
      <c r="J100" s="161" t="s">
        <v>237</v>
      </c>
    </row>
    <row r="101" spans="1:11" s="4" customFormat="1" ht="15" customHeight="1" x14ac:dyDescent="0.25">
      <c r="A101" s="5"/>
      <c r="B101" s="25" t="s">
        <v>323</v>
      </c>
      <c r="C101" s="64"/>
      <c r="D101" s="114"/>
      <c r="E101" s="5"/>
      <c r="F101" s="5"/>
      <c r="G101" s="86" t="s">
        <v>168</v>
      </c>
      <c r="H101" s="87">
        <f>'Gegevens Model Woning'!G35*'Hulp Blad'!D63*VLOOKUP($E$19,'Hulp Blad'!$B$5:$E$8,3,FALSE)</f>
        <v>0</v>
      </c>
      <c r="I101" s="87">
        <f>MROUND(H101,50)</f>
        <v>0</v>
      </c>
      <c r="J101" s="88" t="s">
        <v>128</v>
      </c>
      <c r="K101" s="191"/>
    </row>
    <row r="102" spans="1:11" s="4" customFormat="1" ht="15" customHeight="1" x14ac:dyDescent="0.25">
      <c r="A102" s="5"/>
      <c r="B102" s="25" t="s">
        <v>324</v>
      </c>
      <c r="C102" s="64"/>
      <c r="D102" s="114"/>
      <c r="E102" s="5"/>
      <c r="F102" s="5"/>
      <c r="G102" s="86" t="s">
        <v>168</v>
      </c>
      <c r="H102" s="87">
        <f>'Gegevens Model Woning'!G36*'Hulp Blad'!D63*VLOOKUP($E$19,'Hulp Blad'!$B$5:$E$8,3,FALSE)</f>
        <v>0</v>
      </c>
      <c r="I102" s="87">
        <f t="shared" ref="I102:I104" si="2">MROUND(H102,50)</f>
        <v>0</v>
      </c>
      <c r="J102" s="88" t="s">
        <v>128</v>
      </c>
      <c r="K102" s="191"/>
    </row>
    <row r="103" spans="1:11" s="4" customFormat="1" ht="15" customHeight="1" x14ac:dyDescent="0.25">
      <c r="A103" s="5"/>
      <c r="B103" s="25" t="s">
        <v>325</v>
      </c>
      <c r="C103" s="64"/>
      <c r="D103" s="114"/>
      <c r="E103" s="5"/>
      <c r="F103" s="5"/>
      <c r="G103" s="86" t="s">
        <v>168</v>
      </c>
      <c r="H103" s="87">
        <f>'Gegevens Model Woning'!G37*'Hulp Blad'!D63*VLOOKUP($E$19,'Hulp Blad'!$B$5:$E$8,3,FALSE)</f>
        <v>0</v>
      </c>
      <c r="I103" s="87">
        <f t="shared" si="2"/>
        <v>0</v>
      </c>
      <c r="J103" s="88" t="s">
        <v>128</v>
      </c>
      <c r="K103" s="191"/>
    </row>
    <row r="104" spans="1:11" s="4" customFormat="1" ht="15" customHeight="1" x14ac:dyDescent="0.25">
      <c r="A104" s="5"/>
      <c r="B104" s="25" t="s">
        <v>326</v>
      </c>
      <c r="C104" s="64"/>
      <c r="D104" s="114"/>
      <c r="E104" s="5"/>
      <c r="F104" s="5"/>
      <c r="G104" s="86" t="s">
        <v>168</v>
      </c>
      <c r="H104" s="87">
        <f>'Gegevens Model Woning'!G38*'Hulp Blad'!D63*VLOOKUP($E$19,'Hulp Blad'!$B$5:$E$8,3,FALSE)</f>
        <v>0</v>
      </c>
      <c r="I104" s="87">
        <f t="shared" si="2"/>
        <v>0</v>
      </c>
      <c r="J104" s="88" t="s">
        <v>128</v>
      </c>
      <c r="K104" s="191"/>
    </row>
    <row r="105" spans="1:11" s="4" customFormat="1" ht="15" customHeight="1" x14ac:dyDescent="0.25">
      <c r="A105" s="5"/>
      <c r="B105" s="25" t="s">
        <v>327</v>
      </c>
      <c r="C105" s="64"/>
      <c r="D105" s="114"/>
      <c r="E105" s="5"/>
      <c r="F105" s="5"/>
      <c r="G105" s="86"/>
      <c r="H105" s="96" t="s">
        <v>187</v>
      </c>
      <c r="I105" s="96" t="str">
        <f>H105</f>
        <v>p.m.</v>
      </c>
      <c r="J105" s="88"/>
    </row>
    <row r="106" spans="1:11" s="4" customFormat="1" ht="15" customHeight="1" x14ac:dyDescent="0.25">
      <c r="A106" s="25"/>
      <c r="B106" s="64"/>
      <c r="C106" s="64"/>
      <c r="D106" s="86"/>
      <c r="E106" s="87"/>
      <c r="F106" s="5"/>
      <c r="G106" s="86"/>
      <c r="H106" s="5"/>
      <c r="I106" s="5"/>
      <c r="J106" s="5"/>
    </row>
    <row r="107" spans="1:11" s="4" customFormat="1" ht="18" x14ac:dyDescent="0.25">
      <c r="A107" s="218" t="s">
        <v>24</v>
      </c>
      <c r="B107" s="64"/>
      <c r="C107" s="64"/>
      <c r="D107" s="86"/>
      <c r="E107" s="87"/>
      <c r="F107" s="5"/>
      <c r="G107" s="86"/>
      <c r="H107" s="5"/>
      <c r="I107" s="5"/>
      <c r="J107" s="5"/>
    </row>
    <row r="108" spans="1:11" s="4" customFormat="1" ht="45.75" customHeight="1" x14ac:dyDescent="0.2">
      <c r="A108" s="156"/>
      <c r="B108" s="264"/>
      <c r="C108" s="264"/>
      <c r="D108" s="266"/>
      <c r="E108" s="94" t="s">
        <v>147</v>
      </c>
      <c r="F108" s="265" t="str">
        <f>VLOOKUP(E45,'Hulp Blad'!C67:G71,5,FALSE)</f>
        <v>Aanpassing zolder constructie.</v>
      </c>
      <c r="G108" s="266" t="s">
        <v>168</v>
      </c>
      <c r="H108" s="270">
        <f>VLOOKUP(E45,'Hulp Blad'!C67:G71,2,FALSE)</f>
        <v>15000</v>
      </c>
      <c r="I108" s="94">
        <f>MROUND(H108,50)</f>
        <v>15000</v>
      </c>
      <c r="J108" s="271" t="s">
        <v>167</v>
      </c>
    </row>
    <row r="109" spans="1:11" s="4" customFormat="1" ht="15" customHeight="1" x14ac:dyDescent="0.25">
      <c r="A109" s="46"/>
      <c r="B109" s="64"/>
      <c r="C109" s="64"/>
      <c r="D109" s="86"/>
      <c r="E109" s="87"/>
      <c r="F109" s="5"/>
      <c r="G109" s="86"/>
      <c r="H109" s="5"/>
      <c r="I109" s="5"/>
      <c r="J109" s="5"/>
    </row>
    <row r="110" spans="1:11" s="4" customFormat="1" ht="18" x14ac:dyDescent="0.25">
      <c r="A110" s="218" t="s">
        <v>150</v>
      </c>
      <c r="B110" s="64"/>
      <c r="C110" s="64"/>
      <c r="D110" s="86"/>
      <c r="E110" s="87"/>
      <c r="F110" s="5"/>
      <c r="G110" s="86"/>
      <c r="H110" s="5"/>
      <c r="I110" s="5"/>
      <c r="J110" s="5"/>
    </row>
    <row r="111" spans="1:11" s="4" customFormat="1" ht="15" customHeight="1" x14ac:dyDescent="0.25">
      <c r="A111" s="46"/>
      <c r="B111" s="64"/>
      <c r="C111" s="64"/>
      <c r="D111" s="25" t="s">
        <v>195</v>
      </c>
      <c r="E111" s="64"/>
      <c r="F111" s="64"/>
      <c r="G111" s="86" t="s">
        <v>168</v>
      </c>
      <c r="H111" s="87">
        <f>VLOOKUP($E$19,'Hulp Blad'!$B$5:$E$8,3,FALSE)*VLOOKUP($D$51,'Hulp Blad'!$C$86:$K$87,6,FALSE)*VLOOKUP(E24,'Hulp Blad'!B12:O15,9,FALSE)*D55</f>
        <v>0</v>
      </c>
      <c r="I111" s="87">
        <f>MROUND(H111,50)</f>
        <v>0</v>
      </c>
      <c r="J111" s="93" t="s">
        <v>128</v>
      </c>
    </row>
    <row r="112" spans="1:11" s="4" customFormat="1" ht="15" customHeight="1" x14ac:dyDescent="0.25">
      <c r="A112" s="46"/>
      <c r="B112" s="64"/>
      <c r="C112" s="64"/>
      <c r="D112" s="25" t="s">
        <v>175</v>
      </c>
      <c r="E112" s="64"/>
      <c r="F112" s="64"/>
      <c r="G112" s="86" t="s">
        <v>168</v>
      </c>
      <c r="H112" s="87">
        <f>VLOOKUP($E$19,'Hulp Blad'!$B$5:$E$8,3,FALSE)*VLOOKUP($D$51,'Hulp Blad'!$C$86:$K$87,8,FALSE)*'Gegevens Model Woning'!G57*D55</f>
        <v>750</v>
      </c>
      <c r="I112" s="87">
        <f>MROUND(H112,50)</f>
        <v>750</v>
      </c>
      <c r="J112" s="93" t="s">
        <v>128</v>
      </c>
    </row>
    <row r="113" spans="1:10" s="4" customFormat="1" ht="15" customHeight="1" x14ac:dyDescent="0.25">
      <c r="A113" s="46"/>
      <c r="B113" s="64"/>
      <c r="C113" s="64"/>
      <c r="D113" s="114"/>
      <c r="E113" s="64"/>
      <c r="F113" s="64"/>
      <c r="G113" s="86"/>
      <c r="H113" s="94"/>
      <c r="I113" s="94"/>
      <c r="J113" s="5"/>
    </row>
    <row r="114" spans="1:10" s="4" customFormat="1" ht="20.25" x14ac:dyDescent="0.3">
      <c r="A114" s="284" t="s">
        <v>152</v>
      </c>
      <c r="B114" s="284"/>
      <c r="C114" s="284"/>
      <c r="D114" s="284"/>
      <c r="E114" s="284"/>
      <c r="F114" s="284"/>
      <c r="G114" s="284"/>
      <c r="H114" s="284"/>
      <c r="I114" s="284"/>
      <c r="J114" s="284"/>
    </row>
    <row r="115" spans="1:10" s="4" customFormat="1" ht="15" customHeight="1" x14ac:dyDescent="0.25">
      <c r="A115" s="46"/>
      <c r="B115" s="64"/>
      <c r="C115" s="64"/>
      <c r="D115" s="86"/>
      <c r="E115" s="278" t="s">
        <v>165</v>
      </c>
      <c r="F115" s="278"/>
      <c r="G115" s="86" t="s">
        <v>168</v>
      </c>
      <c r="H115" s="95">
        <f>VLOOKUP($C$61,'Hulp Blad'!$C$80:$I$82,6,FALSE)*'Gegevens Model Woning'!G47</f>
        <v>100</v>
      </c>
      <c r="I115" s="87">
        <f>MROUND(H115,50)</f>
        <v>100</v>
      </c>
      <c r="J115" s="93" t="s">
        <v>128</v>
      </c>
    </row>
    <row r="116" spans="1:10" s="4" customFormat="1" ht="15" customHeight="1" x14ac:dyDescent="0.25">
      <c r="A116" s="5"/>
      <c r="B116" s="25"/>
      <c r="C116" s="64"/>
      <c r="D116" s="114"/>
      <c r="E116" s="278" t="s">
        <v>166</v>
      </c>
      <c r="F116" s="278"/>
      <c r="G116" s="86" t="s">
        <v>168</v>
      </c>
      <c r="H116" s="95">
        <f>VLOOKUP($C$61,'Hulp Blad'!$C$80:$I$82,6,FALSE)*'Gegevens Model Woning'!G48</f>
        <v>750</v>
      </c>
      <c r="I116" s="87">
        <f t="shared" ref="I116:I121" si="3">MROUND(H116,50)</f>
        <v>750</v>
      </c>
      <c r="J116" s="93" t="s">
        <v>128</v>
      </c>
    </row>
    <row r="117" spans="1:10" s="4" customFormat="1" ht="15" customHeight="1" x14ac:dyDescent="0.25">
      <c r="A117" s="5"/>
      <c r="B117" s="25"/>
      <c r="C117" s="64"/>
      <c r="D117" s="114"/>
      <c r="E117" s="278" t="s">
        <v>31</v>
      </c>
      <c r="F117" s="278"/>
      <c r="G117" s="86" t="s">
        <v>168</v>
      </c>
      <c r="H117" s="95">
        <f>VLOOKUP($C$61,'Hulp Blad'!$C$80:$M$82,8,FALSE)*'Gegevens Model Woning'!G49*'Gebruikers Blad'!E31/'Gegevens Model Woning'!$C$5</f>
        <v>230.24498065942163</v>
      </c>
      <c r="I117" s="87">
        <f t="shared" si="3"/>
        <v>250</v>
      </c>
      <c r="J117" s="93" t="s">
        <v>128</v>
      </c>
    </row>
    <row r="118" spans="1:10" s="4" customFormat="1" ht="15" customHeight="1" x14ac:dyDescent="0.25">
      <c r="A118" s="5"/>
      <c r="B118" s="25"/>
      <c r="C118" s="64"/>
      <c r="D118" s="114"/>
      <c r="E118" s="278" t="s">
        <v>32</v>
      </c>
      <c r="F118" s="278"/>
      <c r="G118" s="86" t="s">
        <v>168</v>
      </c>
      <c r="H118" s="95">
        <f>VLOOKUP($C$61,'Hulp Blad'!$C$80:$M$82,8,FALSE)*'Gegevens Model Woning'!G50</f>
        <v>150</v>
      </c>
      <c r="I118" s="87">
        <f t="shared" si="3"/>
        <v>150</v>
      </c>
      <c r="J118" s="93" t="s">
        <v>128</v>
      </c>
    </row>
    <row r="119" spans="1:10" s="4" customFormat="1" ht="15" customHeight="1" x14ac:dyDescent="0.25">
      <c r="A119" s="25"/>
      <c r="B119" s="64"/>
      <c r="C119" s="64"/>
      <c r="D119" s="86"/>
      <c r="E119" s="278" t="s">
        <v>33</v>
      </c>
      <c r="F119" s="278"/>
      <c r="G119" s="86" t="s">
        <v>168</v>
      </c>
      <c r="H119" s="95">
        <f>VLOOKUP($E$24,'Hulp Blad'!$B$12:$G$15,5,FALSE)*VLOOKUP($C$61,'Hulp Blad'!$C$80:$M$82,10,FALSE)</f>
        <v>350</v>
      </c>
      <c r="I119" s="87">
        <f t="shared" si="3"/>
        <v>350</v>
      </c>
      <c r="J119" s="93" t="s">
        <v>128</v>
      </c>
    </row>
    <row r="120" spans="1:10" s="4" customFormat="1" ht="15" customHeight="1" x14ac:dyDescent="0.25">
      <c r="A120" s="25"/>
      <c r="B120" s="64"/>
      <c r="C120" s="64"/>
      <c r="D120" s="86"/>
      <c r="E120" s="25"/>
      <c r="F120" s="25"/>
      <c r="G120" s="86"/>
      <c r="H120" s="5"/>
      <c r="I120" s="5"/>
      <c r="J120" s="94"/>
    </row>
    <row r="121" spans="1:10" s="4" customFormat="1" ht="15" customHeight="1" x14ac:dyDescent="0.25">
      <c r="A121" s="147"/>
      <c r="B121" s="64"/>
      <c r="C121" s="64"/>
      <c r="D121" s="86"/>
      <c r="E121" s="288" t="s">
        <v>210</v>
      </c>
      <c r="F121" s="288"/>
      <c r="G121" s="86" t="s">
        <v>168</v>
      </c>
      <c r="H121" s="92">
        <f>VLOOKUP($E$42,'Hulp Blad'!$C$53:$I$58,6,FALSE)*VLOOKUP($E$24,'Hulp Blad'!$B$12:$O$15,13,FALSE)*VLOOKUP($E$19,'Hulp Blad'!$B$5:$E$8,3,FALSE)*VLOOKUP($F$71,'Hulp Blad'!$C$95:$G$96,4,FALSE)</f>
        <v>750</v>
      </c>
      <c r="I121" s="87">
        <f t="shared" si="3"/>
        <v>750</v>
      </c>
      <c r="J121" s="113" t="s">
        <v>128</v>
      </c>
    </row>
    <row r="122" spans="1:10" s="4" customFormat="1" ht="15" customHeight="1" x14ac:dyDescent="0.25">
      <c r="A122" s="147"/>
      <c r="B122" s="64"/>
      <c r="C122" s="64"/>
      <c r="D122" s="86"/>
      <c r="E122" s="288"/>
      <c r="F122" s="288"/>
      <c r="G122" s="114"/>
      <c r="H122" s="5"/>
      <c r="I122" s="5"/>
      <c r="J122" s="94"/>
    </row>
    <row r="123" spans="1:10" s="4" customFormat="1" ht="15" customHeight="1" x14ac:dyDescent="0.25">
      <c r="A123" s="147"/>
      <c r="B123" s="64"/>
      <c r="C123" s="64"/>
      <c r="D123" s="86"/>
      <c r="E123" s="288"/>
      <c r="F123" s="288"/>
      <c r="G123" s="114"/>
      <c r="H123" s="5"/>
      <c r="I123" s="5"/>
      <c r="J123" s="94"/>
    </row>
    <row r="124" spans="1:10" s="4" customFormat="1" ht="15" customHeight="1" x14ac:dyDescent="0.25">
      <c r="A124" s="147"/>
      <c r="B124" s="64"/>
      <c r="C124" s="64"/>
      <c r="D124" s="86"/>
      <c r="E124" s="288"/>
      <c r="F124" s="288"/>
      <c r="G124" s="114"/>
      <c r="H124" s="5"/>
      <c r="I124" s="5"/>
      <c r="J124" s="94"/>
    </row>
    <row r="125" spans="1:10" s="4" customFormat="1" ht="15" customHeight="1" x14ac:dyDescent="0.25">
      <c r="A125" s="25"/>
      <c r="B125" s="64"/>
      <c r="C125" s="64"/>
      <c r="D125" s="86"/>
      <c r="E125" s="288" t="s">
        <v>209</v>
      </c>
      <c r="F125" s="288"/>
      <c r="G125" s="86" t="s">
        <v>168</v>
      </c>
      <c r="H125" s="92">
        <f>VLOOKUP($E$42,'Hulp Blad'!$C$53:$I$58,6,FALSE)*VLOOKUP($E$24,'Hulp Blad'!$B$12:$I$15,7,FALSE)*VLOOKUP($E$19,'Hulp Blad'!$B$5:$E$8,3,FALSE)*VLOOKUP($F$71,'Hulp Blad'!$C$95:$G$96,2,FALSE)</f>
        <v>0</v>
      </c>
      <c r="I125" s="87">
        <f t="shared" ref="I125" si="4">MROUND(H125,50)</f>
        <v>0</v>
      </c>
      <c r="J125" s="113" t="s">
        <v>128</v>
      </c>
    </row>
    <row r="126" spans="1:10" s="4" customFormat="1" ht="15" customHeight="1" x14ac:dyDescent="0.25">
      <c r="A126" s="25"/>
      <c r="B126" s="64"/>
      <c r="C126" s="64"/>
      <c r="D126" s="86"/>
      <c r="E126" s="288"/>
      <c r="F126" s="288"/>
      <c r="G126" s="114"/>
      <c r="H126" s="5"/>
      <c r="I126" s="5"/>
      <c r="J126" s="94"/>
    </row>
    <row r="127" spans="1:10" s="4" customFormat="1" ht="15" customHeight="1" x14ac:dyDescent="0.25">
      <c r="A127" s="25"/>
      <c r="B127" s="64"/>
      <c r="C127" s="64"/>
      <c r="D127" s="86"/>
      <c r="E127" s="288"/>
      <c r="F127" s="288"/>
      <c r="G127" s="114"/>
      <c r="H127" s="5"/>
      <c r="I127" s="5"/>
      <c r="J127" s="94"/>
    </row>
    <row r="128" spans="1:10" s="4" customFormat="1" ht="15" customHeight="1" x14ac:dyDescent="0.25">
      <c r="A128" s="25"/>
      <c r="B128" s="64"/>
      <c r="C128" s="64"/>
      <c r="D128" s="86"/>
      <c r="E128" s="25"/>
      <c r="F128" s="64"/>
      <c r="G128" s="114"/>
      <c r="H128" s="5"/>
      <c r="I128" s="5"/>
      <c r="J128" s="94"/>
    </row>
    <row r="129" spans="1:10" s="4" customFormat="1" ht="20.25" x14ac:dyDescent="0.3">
      <c r="A129" s="284" t="s">
        <v>180</v>
      </c>
      <c r="B129" s="284"/>
      <c r="C129" s="284"/>
      <c r="D129" s="284"/>
      <c r="E129" s="284"/>
      <c r="F129" s="284"/>
      <c r="G129" s="284"/>
      <c r="H129" s="284"/>
      <c r="I129" s="284"/>
      <c r="J129" s="284"/>
    </row>
    <row r="130" spans="1:10" s="4" customFormat="1" ht="15" customHeight="1" x14ac:dyDescent="0.25">
      <c r="A130" s="25"/>
      <c r="B130" s="64"/>
      <c r="C130" s="64"/>
      <c r="E130" s="64" t="s">
        <v>188</v>
      </c>
      <c r="F130" s="64"/>
      <c r="G130" s="86"/>
      <c r="H130" s="86" t="s">
        <v>187</v>
      </c>
      <c r="I130" s="86" t="str">
        <f>H130</f>
        <v>p.m.</v>
      </c>
      <c r="J130" s="5"/>
    </row>
    <row r="131" spans="1:10" s="4" customFormat="1" ht="15" customHeight="1" x14ac:dyDescent="0.25">
      <c r="A131" s="25"/>
      <c r="B131" s="64"/>
      <c r="C131" s="64"/>
      <c r="E131" s="64" t="s">
        <v>68</v>
      </c>
      <c r="F131" s="64"/>
      <c r="G131" s="86" t="s">
        <v>168</v>
      </c>
      <c r="H131" s="87">
        <f>VLOOKUP($E$24,'Hulp Blad'!$B$12:$M$15,11,FALSE)*'Gegevens Model Woning'!D68</f>
        <v>1500</v>
      </c>
      <c r="I131" s="87">
        <f t="shared" ref="I131:I134" si="5">MROUND(H131,50)</f>
        <v>1500</v>
      </c>
      <c r="J131" s="113" t="s">
        <v>128</v>
      </c>
    </row>
    <row r="132" spans="1:10" s="4" customFormat="1" ht="15" customHeight="1" x14ac:dyDescent="0.25">
      <c r="A132" s="25"/>
      <c r="B132" s="64"/>
      <c r="C132" s="64"/>
      <c r="E132" s="64" t="s">
        <v>52</v>
      </c>
      <c r="F132" s="64"/>
      <c r="G132" s="86" t="s">
        <v>168</v>
      </c>
      <c r="H132" s="87">
        <f>VLOOKUP($E$24,'Hulp Blad'!$B$12:$M$15,11,FALSE)*'Gegevens Model Woning'!D69</f>
        <v>750</v>
      </c>
      <c r="I132" s="87">
        <f t="shared" si="5"/>
        <v>750</v>
      </c>
      <c r="J132" s="113" t="s">
        <v>128</v>
      </c>
    </row>
    <row r="133" spans="1:10" s="4" customFormat="1" ht="15" customHeight="1" x14ac:dyDescent="0.25">
      <c r="A133" s="25"/>
      <c r="B133" s="64"/>
      <c r="C133" s="64"/>
      <c r="E133" s="64" t="s">
        <v>69</v>
      </c>
      <c r="F133" s="64"/>
      <c r="G133" s="86" t="s">
        <v>168</v>
      </c>
      <c r="H133" s="87">
        <f>VLOOKUP($E$24,'Hulp Blad'!$B$12:$M$15,11,FALSE)*'Gegevens Model Woning'!D70</f>
        <v>500</v>
      </c>
      <c r="I133" s="87">
        <f t="shared" si="5"/>
        <v>500</v>
      </c>
      <c r="J133" s="113" t="s">
        <v>128</v>
      </c>
    </row>
    <row r="134" spans="1:10" s="4" customFormat="1" ht="15" customHeight="1" x14ac:dyDescent="0.25">
      <c r="A134" s="5"/>
      <c r="B134" s="5"/>
      <c r="C134" s="5"/>
      <c r="E134" s="64" t="s">
        <v>70</v>
      </c>
      <c r="F134" s="64"/>
      <c r="G134" s="86" t="s">
        <v>168</v>
      </c>
      <c r="H134" s="87">
        <f>VLOOKUP($E$24,'Hulp Blad'!$B$12:$M$15,11,FALSE)*'Gegevens Model Woning'!D71</f>
        <v>2000</v>
      </c>
      <c r="I134" s="87">
        <f t="shared" si="5"/>
        <v>2000</v>
      </c>
      <c r="J134" s="113" t="s">
        <v>128</v>
      </c>
    </row>
    <row r="135" spans="1:10" s="4" customFormat="1" ht="15" customHeight="1" x14ac:dyDescent="0.25">
      <c r="A135" s="5"/>
      <c r="B135" s="5"/>
      <c r="C135" s="5"/>
      <c r="E135" s="64"/>
      <c r="F135" s="64"/>
      <c r="G135" s="86"/>
      <c r="J135" s="5"/>
    </row>
    <row r="136" spans="1:10" s="4" customFormat="1" ht="15" customHeight="1" x14ac:dyDescent="0.25">
      <c r="A136" s="5"/>
      <c r="B136" s="5"/>
      <c r="C136" s="5"/>
      <c r="E136" s="64" t="s">
        <v>71</v>
      </c>
      <c r="F136" s="64"/>
      <c r="G136" s="86"/>
      <c r="H136" s="86" t="s">
        <v>187</v>
      </c>
      <c r="I136" s="86" t="str">
        <f>H136</f>
        <v>p.m.</v>
      </c>
      <c r="J136" s="5"/>
    </row>
    <row r="137" spans="1:10" s="4" customFormat="1" ht="15" customHeight="1" x14ac:dyDescent="0.25">
      <c r="A137" s="5"/>
      <c r="B137" s="5"/>
      <c r="C137" s="5"/>
      <c r="E137" s="64" t="s">
        <v>183</v>
      </c>
      <c r="F137" s="64"/>
      <c r="G137" s="86" t="s">
        <v>168</v>
      </c>
      <c r="H137" s="87">
        <f>VLOOKUP($E$24,'Hulp Blad'!$B$12:$M$15,11,FALSE)*'Gegevens Model Woning'!D74</f>
        <v>3000</v>
      </c>
      <c r="I137" s="87">
        <f t="shared" ref="I137" si="6">MROUND(H137,50)</f>
        <v>3000</v>
      </c>
      <c r="J137" s="113" t="s">
        <v>128</v>
      </c>
    </row>
    <row r="138" spans="1:10" s="4" customFormat="1" ht="15" customHeight="1" x14ac:dyDescent="0.25">
      <c r="A138" s="5"/>
      <c r="B138" s="5"/>
      <c r="C138" s="5"/>
      <c r="E138" s="64"/>
      <c r="F138" s="64"/>
      <c r="G138" s="86"/>
      <c r="H138" s="87"/>
      <c r="I138" s="87"/>
      <c r="J138" s="5"/>
    </row>
    <row r="139" spans="1:10" s="4" customFormat="1" ht="15" customHeight="1" x14ac:dyDescent="0.25">
      <c r="A139" s="5"/>
      <c r="B139" s="5"/>
      <c r="C139" s="5"/>
      <c r="E139" s="64" t="s">
        <v>63</v>
      </c>
      <c r="F139" s="64"/>
      <c r="G139" s="86" t="s">
        <v>168</v>
      </c>
      <c r="H139" s="87">
        <v>1500</v>
      </c>
      <c r="I139" s="87">
        <f t="shared" ref="I139" si="7">MROUND(H139,50)</f>
        <v>1500</v>
      </c>
      <c r="J139" s="113" t="s">
        <v>128</v>
      </c>
    </row>
    <row r="140" spans="1:10" s="4" customFormat="1" ht="15" customHeight="1" x14ac:dyDescent="0.25">
      <c r="A140" s="5"/>
      <c r="B140" s="5"/>
      <c r="C140" s="5"/>
      <c r="D140" s="86"/>
      <c r="E140" s="5"/>
      <c r="F140" s="5"/>
      <c r="G140" s="86"/>
      <c r="H140" s="5"/>
      <c r="I140" s="5"/>
      <c r="J140" s="5"/>
    </row>
    <row r="141" spans="1:10" s="4" customFormat="1" ht="15" customHeight="1" x14ac:dyDescent="0.25">
      <c r="A141" s="5"/>
      <c r="B141" s="5"/>
      <c r="C141" s="5"/>
      <c r="D141" s="114" t="s">
        <v>189</v>
      </c>
      <c r="E141" s="121">
        <v>10</v>
      </c>
      <c r="F141" s="64" t="s">
        <v>190</v>
      </c>
      <c r="G141" s="86" t="s">
        <v>168</v>
      </c>
      <c r="H141" s="87">
        <f>(SUM(H80:H85,H90:H96,H101:H104,H108,H111:H112,H115:H125,H131:H134,H137,H139))*E141/100</f>
        <v>6100.7302142813287</v>
      </c>
      <c r="I141" s="87">
        <f t="shared" ref="I141" si="8">MROUND(H141,50)</f>
        <v>6100</v>
      </c>
      <c r="J141" s="113" t="s">
        <v>128</v>
      </c>
    </row>
    <row r="142" spans="1:10" s="4" customFormat="1" ht="15" customHeight="1" x14ac:dyDescent="0.25">
      <c r="A142" s="5"/>
      <c r="B142" s="5"/>
      <c r="C142" s="5"/>
      <c r="D142" s="86"/>
      <c r="E142" s="5"/>
      <c r="F142" s="5"/>
      <c r="G142" s="86"/>
      <c r="H142" s="5"/>
      <c r="I142" s="5"/>
      <c r="J142" s="5"/>
    </row>
    <row r="143" spans="1:10" s="4" customFormat="1" ht="33.75" customHeight="1" x14ac:dyDescent="0.3">
      <c r="A143" s="5"/>
      <c r="B143" s="5"/>
      <c r="C143" s="5"/>
      <c r="D143" s="86"/>
      <c r="E143" s="5"/>
      <c r="F143" s="122" t="s">
        <v>191</v>
      </c>
      <c r="G143" s="123" t="s">
        <v>168</v>
      </c>
      <c r="H143" s="124">
        <f>MROUND((SUM(H80:H85,H90:H96,H101:H104,H108,H111:H112,H115:H119,H121,H125,H131:H134,H137,H139)+H141),100)</f>
        <v>67100</v>
      </c>
      <c r="I143" s="124">
        <f>MROUND(H143,100)</f>
        <v>67100</v>
      </c>
      <c r="J143" s="125" t="s">
        <v>128</v>
      </c>
    </row>
    <row r="144" spans="1:10" s="4" customFormat="1" ht="15" customHeight="1" x14ac:dyDescent="0.25">
      <c r="A144" s="25"/>
      <c r="B144" s="64"/>
      <c r="C144" s="64"/>
      <c r="D144" s="86"/>
      <c r="E144" s="87"/>
      <c r="F144" s="5"/>
      <c r="G144" s="86"/>
      <c r="H144" s="5"/>
      <c r="I144" s="5"/>
      <c r="J144" s="5"/>
    </row>
    <row r="145" spans="1:10" s="4" customFormat="1" ht="15" customHeight="1" x14ac:dyDescent="0.25">
      <c r="A145" s="25"/>
      <c r="B145" s="64"/>
      <c r="C145" s="64"/>
      <c r="D145" s="86"/>
      <c r="E145" s="87"/>
      <c r="F145" s="5"/>
      <c r="G145" s="86"/>
      <c r="H145" s="5"/>
      <c r="I145" s="5"/>
      <c r="J145" s="5"/>
    </row>
    <row r="146" spans="1:10" s="4" customFormat="1" ht="15" customHeight="1" x14ac:dyDescent="0.25">
      <c r="A146" s="25"/>
      <c r="B146" s="64"/>
      <c r="C146" s="64"/>
      <c r="D146" s="86"/>
      <c r="E146" s="87"/>
      <c r="F146" s="5"/>
      <c r="G146" s="86"/>
      <c r="H146" s="5"/>
      <c r="I146" s="5"/>
      <c r="J146" s="5"/>
    </row>
    <row r="147" spans="1:10" s="4" customFormat="1" ht="15" customHeight="1" x14ac:dyDescent="0.25">
      <c r="G147" s="86"/>
      <c r="H147" s="5"/>
      <c r="I147" s="5"/>
      <c r="J147" s="5"/>
    </row>
    <row r="148" spans="1:10" s="4" customFormat="1" ht="15" customHeight="1" x14ac:dyDescent="0.25">
      <c r="A148" s="25"/>
      <c r="G148" s="86"/>
      <c r="H148" s="5"/>
      <c r="I148" s="5"/>
      <c r="J148" s="5"/>
    </row>
    <row r="149" spans="1:10" s="4" customFormat="1" ht="15" customHeight="1" x14ac:dyDescent="0.25">
      <c r="A149" s="25"/>
      <c r="G149" s="86"/>
      <c r="H149" s="5"/>
      <c r="I149" s="5"/>
      <c r="J149" s="5"/>
    </row>
    <row r="150" spans="1:10" s="4" customFormat="1" ht="15" customHeight="1" x14ac:dyDescent="0.25">
      <c r="A150" s="25"/>
      <c r="G150" s="86"/>
      <c r="H150" s="5"/>
      <c r="I150" s="5"/>
      <c r="J150" s="5"/>
    </row>
    <row r="151" spans="1:10" s="4" customFormat="1" ht="15" customHeight="1" x14ac:dyDescent="0.25">
      <c r="A151" s="25"/>
      <c r="G151" s="86"/>
      <c r="H151" s="5"/>
      <c r="I151" s="5"/>
      <c r="J151" s="5"/>
    </row>
    <row r="152" spans="1:10" s="4" customFormat="1" ht="15" customHeight="1" x14ac:dyDescent="0.25">
      <c r="A152" s="5"/>
      <c r="G152" s="86"/>
      <c r="H152" s="5"/>
      <c r="I152" s="5"/>
      <c r="J152" s="5"/>
    </row>
    <row r="153" spans="1:10" s="4" customFormat="1" ht="15" customHeight="1" x14ac:dyDescent="0.25">
      <c r="A153" s="25"/>
      <c r="G153" s="86"/>
      <c r="H153" s="5"/>
      <c r="I153" s="5"/>
      <c r="J153" s="5"/>
    </row>
    <row r="154" spans="1:10" s="4" customFormat="1" ht="15" customHeight="1" x14ac:dyDescent="0.25">
      <c r="A154" s="26"/>
      <c r="G154" s="86"/>
      <c r="H154" s="5"/>
      <c r="I154" s="5"/>
      <c r="J154" s="5"/>
    </row>
    <row r="155" spans="1:10" s="4" customFormat="1" ht="15" customHeight="1" x14ac:dyDescent="0.2">
      <c r="A155" s="24"/>
      <c r="G155" s="17"/>
    </row>
    <row r="156" spans="1:10" s="4" customFormat="1" ht="15" customHeight="1" x14ac:dyDescent="0.2">
      <c r="A156" s="24"/>
      <c r="B156" s="44"/>
      <c r="C156" s="44"/>
      <c r="D156" s="17"/>
      <c r="G156" s="17"/>
    </row>
    <row r="157" spans="1:10" x14ac:dyDescent="0.2">
      <c r="A157" s="24"/>
    </row>
  </sheetData>
  <sheetProtection sheet="1" objects="1" scenarios="1"/>
  <mergeCells count="47">
    <mergeCell ref="A1:J1"/>
    <mergeCell ref="A2:J2"/>
    <mergeCell ref="A114:J114"/>
    <mergeCell ref="A88:J88"/>
    <mergeCell ref="A79:J79"/>
    <mergeCell ref="A8:J8"/>
    <mergeCell ref="A24:C24"/>
    <mergeCell ref="C31:D31"/>
    <mergeCell ref="C32:D32"/>
    <mergeCell ref="C33:D33"/>
    <mergeCell ref="A77:J77"/>
    <mergeCell ref="A28:D28"/>
    <mergeCell ref="A12:D12"/>
    <mergeCell ref="G12:J12"/>
    <mergeCell ref="G51:J52"/>
    <mergeCell ref="A129:J129"/>
    <mergeCell ref="A3:J3"/>
    <mergeCell ref="G42:J42"/>
    <mergeCell ref="E117:F117"/>
    <mergeCell ref="E118:F118"/>
    <mergeCell ref="E119:F119"/>
    <mergeCell ref="E125:F127"/>
    <mergeCell ref="F61:F67"/>
    <mergeCell ref="E115:F115"/>
    <mergeCell ref="F71:F73"/>
    <mergeCell ref="A71:E73"/>
    <mergeCell ref="A70:F70"/>
    <mergeCell ref="A20:F20"/>
    <mergeCell ref="A4:J4"/>
    <mergeCell ref="E121:F124"/>
    <mergeCell ref="G71:J72"/>
    <mergeCell ref="A5:J5"/>
    <mergeCell ref="E116:F116"/>
    <mergeCell ref="E42:F42"/>
    <mergeCell ref="A42:D42"/>
    <mergeCell ref="D51:E53"/>
    <mergeCell ref="C61:E67"/>
    <mergeCell ref="A61:B67"/>
    <mergeCell ref="A51:C53"/>
    <mergeCell ref="F51:F53"/>
    <mergeCell ref="D55:E56"/>
    <mergeCell ref="A55:C56"/>
    <mergeCell ref="A45:D47"/>
    <mergeCell ref="E45:F47"/>
    <mergeCell ref="G45:J47"/>
    <mergeCell ref="F55:F56"/>
    <mergeCell ref="A15:F15"/>
  </mergeCells>
  <phoneticPr fontId="7" type="noConversion"/>
  <dataValidations count="1">
    <dataValidation type="whole" allowBlank="1" showInputMessage="1" showErrorMessage="1" sqref="D55:E56" xr:uid="{3D93B6EE-759E-4771-834D-055F05F3738B}">
      <formula1>1</formula1>
      <formula2>3</formula2>
    </dataValidation>
  </dataValidations>
  <pageMargins left="0.7" right="0.7" top="0.75" bottom="0.75" header="0.3" footer="0.3"/>
  <pageSetup paperSize="8" scale="74"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1" id="{C89222C8-F5AD-4832-A83C-B0FA3C416534}">
            <xm:f>'Hulp Blad'!$D$91=0</xm:f>
            <x14:dxf>
              <font>
                <strike val="0"/>
                <color theme="2"/>
              </font>
            </x14:dxf>
          </x14:cfRule>
          <xm:sqref>A71:E73</xm:sqref>
        </x14:conditionalFormatting>
        <x14:conditionalFormatting xmlns:xm="http://schemas.microsoft.com/office/excel/2006/main">
          <x14:cfRule type="expression" priority="22" id="{C7F5F85B-F2CD-4307-A035-9CD96170E1C9}">
            <xm:f>'Hulp Blad'!$D$91=0</xm:f>
            <x14:dxf>
              <font>
                <color theme="2"/>
              </font>
              <fill>
                <patternFill patternType="solid">
                  <bgColor theme="0"/>
                </patternFill>
              </fill>
            </x14:dxf>
          </x14:cfRule>
          <xm:sqref>F71:F73</xm:sqref>
        </x14:conditionalFormatting>
        <x14:conditionalFormatting xmlns:xm="http://schemas.microsoft.com/office/excel/2006/main">
          <x14:cfRule type="expression" priority="18" id="{E6E45E7C-D404-4610-A948-4F38B68A25D0}">
            <xm:f>'Hulp Blad'!$D$91=0</xm:f>
            <x14:dxf>
              <font>
                <color theme="0" tint="-4.9989318521683403E-2"/>
              </font>
            </x14:dxf>
          </x14:cfRule>
          <xm:sqref>A70:F70</xm:sqref>
        </x14:conditionalFormatting>
        <x14:conditionalFormatting xmlns:xm="http://schemas.microsoft.com/office/excel/2006/main">
          <x14:cfRule type="expression" priority="17" id="{D9EFC452-3F8F-4CE9-97BF-F2C8662959CB}">
            <xm:f>'Hulp Blad'!$D$91=0</xm:f>
            <x14:dxf>
              <font>
                <color theme="0" tint="-4.9989318521683403E-2"/>
              </font>
            </x14:dxf>
          </x14:cfRule>
          <xm:sqref>G70:J74</xm:sqref>
        </x14:conditionalFormatting>
        <x14:conditionalFormatting xmlns:xm="http://schemas.microsoft.com/office/excel/2006/main">
          <x14:cfRule type="expression" priority="16" id="{DAF8C45D-EDE7-4D7C-986E-62327221216A}">
            <xm:f>'Hulp Blad'!$D$49=0</xm:f>
            <x14:dxf>
              <font>
                <color theme="0" tint="-4.9989318521683403E-2"/>
              </font>
              <fill>
                <patternFill>
                  <bgColor theme="0"/>
                </patternFill>
              </fill>
            </x14:dxf>
          </x14:cfRule>
          <xm:sqref>A42:J42</xm:sqref>
        </x14:conditionalFormatting>
        <x14:conditionalFormatting xmlns:xm="http://schemas.microsoft.com/office/excel/2006/main">
          <x14:cfRule type="expression" priority="10" id="{A51C9B4F-6B39-4870-9838-FF4BE6410E52}">
            <xm:f>'Hulp Blad'!$D$75=0</xm:f>
            <x14:dxf>
              <font>
                <color theme="0" tint="-4.9989318521683403E-2"/>
              </font>
              <fill>
                <patternFill>
                  <bgColor theme="0"/>
                </patternFill>
              </fill>
            </x14:dxf>
          </x14:cfRule>
          <x14:cfRule type="expression" priority="15" id="{7E85E46B-40CF-4AF7-A100-933668C0AB78}">
            <xm:f>'Hulp Blad'!$D$49=0</xm:f>
            <x14:dxf>
              <font>
                <color theme="0" tint="-4.9989318521683403E-2"/>
              </font>
              <fill>
                <patternFill>
                  <bgColor theme="0"/>
                </patternFill>
              </fill>
            </x14:dxf>
          </x14:cfRule>
          <xm:sqref>A50:J53 D55 A55</xm:sqref>
        </x14:conditionalFormatting>
        <x14:conditionalFormatting xmlns:xm="http://schemas.microsoft.com/office/excel/2006/main">
          <x14:cfRule type="expression" priority="13" id="{3557B6B3-3559-4B91-BEC1-2C3D5AD6D937}">
            <xm:f>'Hulp Blad'!$D$27=0</xm:f>
            <x14:dxf>
              <font>
                <color theme="0" tint="-4.9989318521683403E-2"/>
              </font>
              <fill>
                <patternFill>
                  <bgColor theme="0"/>
                </patternFill>
              </fill>
            </x14:dxf>
          </x14:cfRule>
          <xm:sqref>C31:F31</xm:sqref>
        </x14:conditionalFormatting>
        <x14:conditionalFormatting xmlns:xm="http://schemas.microsoft.com/office/excel/2006/main">
          <x14:cfRule type="expression" priority="12" id="{551F90DB-2E10-4936-90BB-417AA6DB47E8}">
            <xm:f>'Hulp Blad'!$D$28=0</xm:f>
            <x14:dxf>
              <font>
                <color theme="0" tint="-4.9989318521683403E-2"/>
              </font>
              <fill>
                <patternFill>
                  <bgColor theme="0"/>
                </patternFill>
              </fill>
            </x14:dxf>
          </x14:cfRule>
          <xm:sqref>C32:F32</xm:sqref>
        </x14:conditionalFormatting>
        <x14:conditionalFormatting xmlns:xm="http://schemas.microsoft.com/office/excel/2006/main">
          <x14:cfRule type="expression" priority="11" id="{22C3E801-D646-470D-A117-BE77612D8914}">
            <xm:f>'Hulp Blad'!$D$29=0</xm:f>
            <x14:dxf>
              <font>
                <color theme="0" tint="-4.9989318521683403E-2"/>
              </font>
              <fill>
                <patternFill>
                  <bgColor theme="0"/>
                </patternFill>
              </fill>
            </x14:dxf>
          </x14:cfRule>
          <xm:sqref>C33:F33</xm:sqref>
        </x14:conditionalFormatting>
        <x14:conditionalFormatting xmlns:xm="http://schemas.microsoft.com/office/excel/2006/main">
          <x14:cfRule type="expression" priority="9" id="{DA572E13-78CC-4E41-A4DF-8D69E19AB27B}">
            <xm:f>'Hulp Blad'!$D$24=1</xm:f>
            <x14:dxf>
              <font>
                <b/>
                <i val="0"/>
                <color rgb="FFFF0000"/>
              </font>
            </x14:dxf>
          </x14:cfRule>
          <xm:sqref>F28</xm:sqref>
        </x14:conditionalFormatting>
        <x14:conditionalFormatting xmlns:xm="http://schemas.microsoft.com/office/excel/2006/main">
          <x14:cfRule type="expression" priority="5" id="{CD895EDE-D4B4-412B-B98D-96673971DB31}">
            <xm:f>'Hulp Blad'!$D$41=0</xm:f>
            <x14:dxf>
              <font>
                <color theme="0" tint="-4.9989318521683403E-2"/>
              </font>
              <fill>
                <patternFill>
                  <bgColor theme="0"/>
                </patternFill>
              </fill>
            </x14:dxf>
          </x14:cfRule>
          <xm:sqref>A18:J34 A35:E39 G35:J39 A40:J44 F55:J55 A55 D55 A57:J144 A48:J54 A45:A46 E45:E46 G45:G46 G56:J56</xm:sqref>
        </x14:conditionalFormatting>
        <x14:conditionalFormatting xmlns:xm="http://schemas.microsoft.com/office/excel/2006/main">
          <x14:cfRule type="expression" priority="4" id="{05EF4DE0-544D-450D-A391-7EA87CCE832B}">
            <xm:f>'Hulp Blad'!$D$41=0</xm:f>
            <x14:dxf>
              <font>
                <color theme="0" tint="-4.9989318521683403E-2"/>
              </font>
              <fill>
                <patternFill>
                  <bgColor theme="0"/>
                </patternFill>
              </fill>
            </x14:dxf>
          </x14:cfRule>
          <xm:sqref>A35:XFD39</xm:sqref>
        </x14:conditionalFormatting>
        <x14:conditionalFormatting xmlns:xm="http://schemas.microsoft.com/office/excel/2006/main">
          <x14:cfRule type="expression" priority="1" id="{86367805-32EC-44F7-995D-3B92F11D3050}">
            <xm:f>'Hulp Blad'!$D$42=0</xm:f>
            <x14:dxf>
              <font>
                <color theme="0" tint="-4.9989318521683403E-2"/>
              </font>
              <fill>
                <patternFill>
                  <bgColor theme="0"/>
                </patternFill>
              </fill>
            </x14:dxf>
          </x14:cfRule>
          <xm:sqref>F13</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892F9BF0-A535-4424-965C-7D30E54A5B25}">
          <x14:formula1>
            <xm:f>'Hulp Blad'!$B$5:$B$8</xm:f>
          </x14:formula1>
          <xm:sqref>E19</xm:sqref>
        </x14:dataValidation>
        <x14:dataValidation type="list" allowBlank="1" showInputMessage="1" showErrorMessage="1" xr:uid="{B53A3902-001B-4C4F-ACBE-532DE8CC27DC}">
          <x14:formula1>
            <xm:f>'Hulp Blad'!$B$19:$B$22</xm:f>
          </x14:formula1>
          <xm:sqref>E28</xm:sqref>
        </x14:dataValidation>
        <x14:dataValidation type="list" allowBlank="1" showInputMessage="1" showErrorMessage="1" xr:uid="{A43B616E-259A-4AAA-8084-8D1909670B10}">
          <x14:formula1>
            <xm:f>'Hulp Blad'!$B$12:$B$15</xm:f>
          </x14:formula1>
          <xm:sqref>E24</xm:sqref>
        </x14:dataValidation>
        <x14:dataValidation type="list" allowBlank="1" showInputMessage="1" showErrorMessage="1" xr:uid="{80FF8B7B-D2D5-4524-8C30-F3F48E62957D}">
          <x14:formula1>
            <xm:f>'Hulp Blad'!$C$53:$C$58</xm:f>
          </x14:formula1>
          <xm:sqref>E42:E43</xm:sqref>
        </x14:dataValidation>
        <x14:dataValidation type="list" allowBlank="1" showInputMessage="1" showErrorMessage="1" xr:uid="{52146A9B-DBEB-4728-B8C6-9B063602CE74}">
          <x14:formula1>
            <xm:f>'Hulp Blad'!$C$67:$C$71</xm:f>
          </x14:formula1>
          <xm:sqref>E45:F47</xm:sqref>
        </x14:dataValidation>
        <x14:dataValidation type="list" allowBlank="1" showInputMessage="1" showErrorMessage="1" xr:uid="{8E04928C-6BAA-423E-BBDA-C7E7797D120C}">
          <x14:formula1>
            <xm:f>'Hulp Blad'!$C$80:$C$82</xm:f>
          </x14:formula1>
          <xm:sqref>C61:C64</xm:sqref>
        </x14:dataValidation>
        <x14:dataValidation type="list" allowBlank="1" showInputMessage="1" showErrorMessage="1" xr:uid="{DEFB40B0-9AEA-4CB8-B1BE-FED23E46DA71}">
          <x14:formula1>
            <xm:f>'Hulp Blad'!$C$95:$C$96</xm:f>
          </x14:formula1>
          <xm:sqref>F71:F73</xm:sqref>
        </x14:dataValidation>
        <x14:dataValidation type="list" allowBlank="1" showInputMessage="1" showErrorMessage="1" xr:uid="{4979DAAC-02AF-46E9-8CDE-AA424A3FBFDF}">
          <x14:formula1>
            <xm:f>'Hulp Blad'!$C$86:$C$87</xm:f>
          </x14:formula1>
          <xm:sqref>D51:D52</xm:sqref>
        </x14:dataValidation>
        <x14:dataValidation type="list" allowBlank="1" showInputMessage="1" showErrorMessage="1" xr:uid="{B44114C0-3CE0-4177-A758-0AD7ACF96510}">
          <x14:formula1>
            <xm:f>'Hulp Blad'!$C$35:$C$38</xm:f>
          </x14:formula1>
          <xm:sqref>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293C0-DD7F-4EA0-A711-EA648C4BB283}">
  <sheetPr>
    <pageSetUpPr fitToPage="1"/>
  </sheetPr>
  <dimension ref="A1:O144"/>
  <sheetViews>
    <sheetView topLeftCell="A36" workbookViewId="0">
      <selection activeCell="J38" sqref="J38"/>
    </sheetView>
  </sheetViews>
  <sheetFormatPr defaultRowHeight="15" x14ac:dyDescent="0.25"/>
  <cols>
    <col min="1" max="1" width="24" style="23" bestFit="1" customWidth="1"/>
    <col min="2" max="2" width="15.28515625" style="23" customWidth="1"/>
    <col min="3" max="3" width="74.7109375" customWidth="1"/>
    <col min="4" max="4" width="42" customWidth="1"/>
    <col min="5" max="5" width="29.28515625" bestFit="1" customWidth="1"/>
    <col min="6" max="6" width="15" style="221" customWidth="1"/>
    <col min="7" max="7" width="27.140625" style="221" bestFit="1" customWidth="1"/>
    <col min="8" max="8" width="12.7109375" customWidth="1"/>
    <col min="9" max="9" width="11.140625" customWidth="1"/>
    <col min="10" max="10" width="12.85546875" customWidth="1"/>
    <col min="11" max="11" width="11.5703125" customWidth="1"/>
    <col min="12" max="12" width="11.85546875" customWidth="1"/>
    <col min="13" max="13" width="15.28515625" customWidth="1"/>
    <col min="15" max="15" width="22.140625" customWidth="1"/>
  </cols>
  <sheetData>
    <row r="1" spans="1:15" ht="28.5" x14ac:dyDescent="0.45">
      <c r="A1" s="348" t="s">
        <v>110</v>
      </c>
      <c r="B1" s="348"/>
      <c r="C1" s="348"/>
    </row>
    <row r="2" spans="1:15" ht="28.5" x14ac:dyDescent="0.45">
      <c r="A2" s="27"/>
      <c r="B2" s="27"/>
      <c r="C2" s="27"/>
    </row>
    <row r="3" spans="1:15" ht="15.75" thickBot="1" x14ac:dyDescent="0.3"/>
    <row r="4" spans="1:15" ht="35.25" customHeight="1" thickBot="1" x14ac:dyDescent="0.3">
      <c r="A4" s="128" t="s">
        <v>139</v>
      </c>
      <c r="B4" s="129" t="s">
        <v>103</v>
      </c>
      <c r="C4" s="52" t="s">
        <v>104</v>
      </c>
      <c r="D4" s="323" t="s">
        <v>186</v>
      </c>
      <c r="E4" s="324"/>
      <c r="F4" s="225" t="s">
        <v>249</v>
      </c>
    </row>
    <row r="5" spans="1:15" ht="315" x14ac:dyDescent="0.25">
      <c r="A5" s="342" t="s">
        <v>99</v>
      </c>
      <c r="B5" s="130" t="s">
        <v>100</v>
      </c>
      <c r="C5" s="49" t="s">
        <v>123</v>
      </c>
      <c r="D5" s="99">
        <v>1</v>
      </c>
      <c r="E5" s="53" t="s">
        <v>134</v>
      </c>
      <c r="F5" s="226" t="s">
        <v>252</v>
      </c>
    </row>
    <row r="6" spans="1:15" ht="330" x14ac:dyDescent="0.25">
      <c r="A6" s="343"/>
      <c r="B6" s="131" t="s">
        <v>101</v>
      </c>
      <c r="C6" s="50" t="s">
        <v>122</v>
      </c>
      <c r="D6" s="101">
        <v>1</v>
      </c>
      <c r="E6" s="54" t="s">
        <v>134</v>
      </c>
      <c r="F6" s="227" t="s">
        <v>250</v>
      </c>
    </row>
    <row r="7" spans="1:15" ht="45" x14ac:dyDescent="0.25">
      <c r="A7" s="343"/>
      <c r="B7" s="131" t="s">
        <v>102</v>
      </c>
      <c r="C7" s="50" t="s">
        <v>124</v>
      </c>
      <c r="D7" s="102">
        <v>1</v>
      </c>
      <c r="E7" s="55" t="s">
        <v>134</v>
      </c>
      <c r="F7" s="228" t="s">
        <v>251</v>
      </c>
    </row>
    <row r="8" spans="1:15" ht="30.75" thickBot="1" x14ac:dyDescent="0.3">
      <c r="A8" s="344"/>
      <c r="B8" s="132" t="s">
        <v>105</v>
      </c>
      <c r="C8" s="51" t="s">
        <v>106</v>
      </c>
      <c r="D8" s="100">
        <v>0</v>
      </c>
      <c r="E8" s="56" t="s">
        <v>134</v>
      </c>
      <c r="F8" s="228" t="s">
        <v>251</v>
      </c>
    </row>
    <row r="10" spans="1:15" ht="15.75" thickBot="1" x14ac:dyDescent="0.3"/>
    <row r="11" spans="1:15" s="12" customFormat="1" ht="56.25" customHeight="1" thickBot="1" x14ac:dyDescent="0.3">
      <c r="A11" s="141"/>
      <c r="B11" s="142" t="s">
        <v>103</v>
      </c>
      <c r="C11" s="143" t="s">
        <v>104</v>
      </c>
      <c r="D11" s="321" t="s">
        <v>130</v>
      </c>
      <c r="E11" s="322"/>
      <c r="F11" s="321" t="s">
        <v>192</v>
      </c>
      <c r="G11" s="324"/>
      <c r="H11" s="321" t="s">
        <v>205</v>
      </c>
      <c r="I11" s="322"/>
      <c r="J11" s="321" t="s">
        <v>181</v>
      </c>
      <c r="K11" s="324"/>
      <c r="L11" s="321" t="s">
        <v>182</v>
      </c>
      <c r="M11" s="324"/>
      <c r="N11" s="321" t="s">
        <v>206</v>
      </c>
      <c r="O11" s="322"/>
    </row>
    <row r="12" spans="1:15" x14ac:dyDescent="0.25">
      <c r="A12" s="345" t="s">
        <v>113</v>
      </c>
      <c r="B12" s="133" t="s">
        <v>114</v>
      </c>
      <c r="C12" s="37" t="s">
        <v>118</v>
      </c>
      <c r="D12" s="40">
        <v>7</v>
      </c>
      <c r="E12" s="60" t="s">
        <v>230</v>
      </c>
      <c r="F12" s="229">
        <v>250</v>
      </c>
      <c r="G12" s="230" t="s">
        <v>163</v>
      </c>
      <c r="H12" s="136">
        <v>5000</v>
      </c>
      <c r="I12" s="60" t="s">
        <v>163</v>
      </c>
      <c r="J12" s="79">
        <v>5000</v>
      </c>
      <c r="K12" s="38" t="s">
        <v>163</v>
      </c>
      <c r="L12" s="137">
        <v>0.75</v>
      </c>
      <c r="M12" s="38" t="s">
        <v>163</v>
      </c>
      <c r="N12" s="136">
        <v>500</v>
      </c>
      <c r="O12" s="60" t="s">
        <v>163</v>
      </c>
    </row>
    <row r="13" spans="1:15" x14ac:dyDescent="0.25">
      <c r="A13" s="346"/>
      <c r="B13" s="134" t="s">
        <v>115</v>
      </c>
      <c r="C13" s="33" t="s">
        <v>121</v>
      </c>
      <c r="D13" s="41">
        <v>9</v>
      </c>
      <c r="E13" s="57" t="s">
        <v>230</v>
      </c>
      <c r="F13" s="231">
        <v>350</v>
      </c>
      <c r="G13" s="232" t="s">
        <v>163</v>
      </c>
      <c r="H13" s="81">
        <v>10000</v>
      </c>
      <c r="I13" s="57" t="s">
        <v>163</v>
      </c>
      <c r="J13" s="138">
        <v>5500</v>
      </c>
      <c r="K13" s="39" t="s">
        <v>163</v>
      </c>
      <c r="L13" s="82">
        <v>1</v>
      </c>
      <c r="M13" s="39" t="s">
        <v>163</v>
      </c>
      <c r="N13" s="81">
        <v>750</v>
      </c>
      <c r="O13" s="57" t="s">
        <v>163</v>
      </c>
    </row>
    <row r="14" spans="1:15" x14ac:dyDescent="0.25">
      <c r="A14" s="346"/>
      <c r="B14" s="134" t="s">
        <v>116</v>
      </c>
      <c r="C14" s="33" t="s">
        <v>119</v>
      </c>
      <c r="D14" s="40">
        <v>11</v>
      </c>
      <c r="E14" s="60" t="s">
        <v>230</v>
      </c>
      <c r="F14" s="231">
        <v>500</v>
      </c>
      <c r="G14" s="232" t="s">
        <v>163</v>
      </c>
      <c r="H14" s="81">
        <v>15000</v>
      </c>
      <c r="I14" s="57" t="s">
        <v>163</v>
      </c>
      <c r="J14" s="138">
        <v>7500</v>
      </c>
      <c r="K14" s="39" t="s">
        <v>163</v>
      </c>
      <c r="L14" s="82">
        <v>1.25</v>
      </c>
      <c r="M14" s="39" t="s">
        <v>163</v>
      </c>
      <c r="N14" s="81">
        <v>1000</v>
      </c>
      <c r="O14" s="57" t="s">
        <v>163</v>
      </c>
    </row>
    <row r="15" spans="1:15" ht="15.75" thickBot="1" x14ac:dyDescent="0.3">
      <c r="A15" s="347"/>
      <c r="B15" s="135" t="s">
        <v>117</v>
      </c>
      <c r="C15" s="35" t="s">
        <v>120</v>
      </c>
      <c r="D15" s="42">
        <v>13</v>
      </c>
      <c r="E15" s="61" t="s">
        <v>230</v>
      </c>
      <c r="F15" s="233">
        <v>750</v>
      </c>
      <c r="G15" s="234" t="s">
        <v>163</v>
      </c>
      <c r="H15" s="139">
        <v>20000</v>
      </c>
      <c r="I15" s="67" t="s">
        <v>163</v>
      </c>
      <c r="J15" s="80">
        <v>10000</v>
      </c>
      <c r="K15" s="68" t="s">
        <v>163</v>
      </c>
      <c r="L15" s="140">
        <v>1.5</v>
      </c>
      <c r="M15" s="68" t="s">
        <v>163</v>
      </c>
      <c r="N15" s="139">
        <v>1250</v>
      </c>
      <c r="O15" s="67" t="s">
        <v>163</v>
      </c>
    </row>
    <row r="17" spans="1:7" ht="15.75" thickBot="1" x14ac:dyDescent="0.3"/>
    <row r="18" spans="1:7" ht="15.75" thickBot="1" x14ac:dyDescent="0.3">
      <c r="A18" s="128" t="s">
        <v>140</v>
      </c>
      <c r="B18" s="129" t="s">
        <v>103</v>
      </c>
      <c r="C18" s="198" t="s">
        <v>104</v>
      </c>
      <c r="D18" s="349" t="s">
        <v>262</v>
      </c>
      <c r="E18" s="350"/>
    </row>
    <row r="19" spans="1:7" ht="45" x14ac:dyDescent="0.25">
      <c r="A19" s="342" t="s">
        <v>125</v>
      </c>
      <c r="B19" s="28">
        <v>1</v>
      </c>
      <c r="C19" s="199" t="s">
        <v>193</v>
      </c>
      <c r="D19" s="57">
        <v>0</v>
      </c>
      <c r="E19" s="55" t="s">
        <v>260</v>
      </c>
    </row>
    <row r="20" spans="1:7" ht="25.5" customHeight="1" x14ac:dyDescent="0.25">
      <c r="A20" s="343"/>
      <c r="B20" s="29">
        <v>2</v>
      </c>
      <c r="C20" s="200" t="s">
        <v>112</v>
      </c>
      <c r="D20" s="60">
        <v>0</v>
      </c>
      <c r="E20" s="54" t="s">
        <v>260</v>
      </c>
    </row>
    <row r="21" spans="1:7" ht="60" x14ac:dyDescent="0.25">
      <c r="A21" s="343"/>
      <c r="B21" s="29">
        <v>3</v>
      </c>
      <c r="C21" s="200" t="s">
        <v>142</v>
      </c>
      <c r="D21" s="57">
        <v>0</v>
      </c>
      <c r="E21" s="55" t="s">
        <v>260</v>
      </c>
    </row>
    <row r="22" spans="1:7" ht="45.75" thickBot="1" x14ac:dyDescent="0.3">
      <c r="A22" s="344"/>
      <c r="B22" s="30" t="s">
        <v>111</v>
      </c>
      <c r="C22" s="201" t="s">
        <v>261</v>
      </c>
      <c r="D22" s="67">
        <v>1</v>
      </c>
      <c r="E22" s="77" t="s">
        <v>260</v>
      </c>
    </row>
    <row r="24" spans="1:7" x14ac:dyDescent="0.25">
      <c r="C24" s="215" t="s">
        <v>264</v>
      </c>
      <c r="D24" s="216">
        <f>VLOOKUP('Gebruikers Blad'!E28,'Hulp Blad'!B19:E22,3,FALSE)</f>
        <v>0</v>
      </c>
      <c r="E24" s="195" t="s">
        <v>263</v>
      </c>
    </row>
    <row r="27" spans="1:7" s="174" customFormat="1" x14ac:dyDescent="0.25">
      <c r="A27" s="313" t="s">
        <v>223</v>
      </c>
      <c r="B27" s="313"/>
      <c r="C27" s="173" t="s">
        <v>219</v>
      </c>
      <c r="D27" s="175">
        <v>1</v>
      </c>
      <c r="E27" s="174" t="s">
        <v>221</v>
      </c>
      <c r="F27" s="235"/>
      <c r="G27" s="235"/>
    </row>
    <row r="28" spans="1:7" s="174" customFormat="1" x14ac:dyDescent="0.25">
      <c r="A28" s="313"/>
      <c r="B28" s="313"/>
      <c r="C28" s="173" t="s">
        <v>218</v>
      </c>
      <c r="D28" s="173">
        <f>IF('Gebruikers Blad'!E28&gt;1,1,0)</f>
        <v>1</v>
      </c>
      <c r="E28" s="174" t="s">
        <v>222</v>
      </c>
      <c r="F28" s="235"/>
      <c r="G28" s="235"/>
    </row>
    <row r="29" spans="1:7" s="174" customFormat="1" x14ac:dyDescent="0.25">
      <c r="A29" s="313"/>
      <c r="B29" s="313"/>
      <c r="C29" s="173" t="s">
        <v>220</v>
      </c>
      <c r="D29" s="173">
        <f>IF('Gebruikers Blad'!E28&gt;2,1,0)</f>
        <v>1</v>
      </c>
      <c r="E29" s="174" t="s">
        <v>222</v>
      </c>
      <c r="F29" s="235"/>
      <c r="G29" s="235"/>
    </row>
    <row r="31" spans="1:7" ht="15.75" x14ac:dyDescent="0.25">
      <c r="B31" s="314" t="s">
        <v>227</v>
      </c>
      <c r="C31" s="314"/>
      <c r="D31" s="177">
        <f>D27*'Gebruikers Blad'!E31+'Hulp Blad'!D28*'Gebruikers Blad'!E32+'Hulp Blad'!D29*'Gebruikers Blad'!E33</f>
        <v>140</v>
      </c>
      <c r="E31" s="177" t="s">
        <v>78</v>
      </c>
    </row>
    <row r="34" spans="1:10" ht="120" x14ac:dyDescent="0.25">
      <c r="A34" s="319" t="s">
        <v>139</v>
      </c>
      <c r="B34" s="319"/>
      <c r="C34" s="29" t="s">
        <v>103</v>
      </c>
      <c r="D34" s="29" t="s">
        <v>169</v>
      </c>
      <c r="E34" s="29" t="s">
        <v>276</v>
      </c>
      <c r="F34" s="257" t="s">
        <v>286</v>
      </c>
      <c r="G34" s="257" t="s">
        <v>287</v>
      </c>
      <c r="H34" s="258" t="s">
        <v>289</v>
      </c>
      <c r="I34" s="258" t="s">
        <v>290</v>
      </c>
      <c r="J34" s="258" t="s">
        <v>292</v>
      </c>
    </row>
    <row r="35" spans="1:10" ht="195" x14ac:dyDescent="0.25">
      <c r="A35" s="320" t="s">
        <v>272</v>
      </c>
      <c r="B35" s="320"/>
      <c r="C35" s="29" t="s">
        <v>275</v>
      </c>
      <c r="D35" s="257" t="s">
        <v>315</v>
      </c>
      <c r="E35" s="257" t="s">
        <v>277</v>
      </c>
      <c r="F35" s="257">
        <v>1</v>
      </c>
      <c r="G35" s="257">
        <v>1</v>
      </c>
      <c r="H35" s="29">
        <v>1</v>
      </c>
      <c r="I35" s="29">
        <v>1</v>
      </c>
      <c r="J35" s="256" t="s">
        <v>293</v>
      </c>
    </row>
    <row r="36" spans="1:10" ht="180" x14ac:dyDescent="0.25">
      <c r="A36" s="320"/>
      <c r="B36" s="320"/>
      <c r="C36" s="257" t="s">
        <v>270</v>
      </c>
      <c r="D36" s="257" t="s">
        <v>314</v>
      </c>
      <c r="E36" s="257" t="s">
        <v>294</v>
      </c>
      <c r="F36" s="257">
        <v>0</v>
      </c>
      <c r="G36" s="257">
        <v>1</v>
      </c>
      <c r="H36" s="29">
        <v>1</v>
      </c>
      <c r="I36" s="29">
        <v>1</v>
      </c>
      <c r="J36" s="259" t="s">
        <v>295</v>
      </c>
    </row>
    <row r="37" spans="1:10" ht="210" x14ac:dyDescent="0.25">
      <c r="A37" s="320"/>
      <c r="B37" s="320"/>
      <c r="C37" s="257" t="s">
        <v>282</v>
      </c>
      <c r="D37" s="257" t="s">
        <v>313</v>
      </c>
      <c r="E37" s="257" t="s">
        <v>278</v>
      </c>
      <c r="F37" s="257">
        <v>0</v>
      </c>
      <c r="G37" s="257">
        <v>1</v>
      </c>
      <c r="H37" s="29">
        <v>1</v>
      </c>
      <c r="I37" s="29">
        <v>1</v>
      </c>
      <c r="J37" s="259" t="s">
        <v>332</v>
      </c>
    </row>
    <row r="38" spans="1:10" ht="135" x14ac:dyDescent="0.25">
      <c r="A38" s="320"/>
      <c r="B38" s="320"/>
      <c r="C38" s="257" t="s">
        <v>271</v>
      </c>
      <c r="D38" s="257" t="s">
        <v>331</v>
      </c>
      <c r="E38" s="257" t="s">
        <v>279</v>
      </c>
      <c r="F38" s="258">
        <v>0</v>
      </c>
      <c r="G38" s="257">
        <v>0</v>
      </c>
      <c r="H38" s="29">
        <v>0</v>
      </c>
      <c r="I38" s="29">
        <v>0</v>
      </c>
      <c r="J38" s="259" t="s">
        <v>296</v>
      </c>
    </row>
    <row r="40" spans="1:10" ht="15.75" thickBot="1" x14ac:dyDescent="0.3"/>
    <row r="41" spans="1:10" ht="30.75" thickBot="1" x14ac:dyDescent="0.3">
      <c r="C41" s="12" t="s">
        <v>215</v>
      </c>
      <c r="D41" s="152">
        <f>VLOOKUP('Gebruikers Blad'!E12,'Hulp Blad'!C35:G38,4,FALSE)</f>
        <v>1</v>
      </c>
      <c r="E41" t="s">
        <v>283</v>
      </c>
    </row>
    <row r="42" spans="1:10" ht="45.75" thickBot="1" x14ac:dyDescent="0.3">
      <c r="C42" s="12" t="s">
        <v>291</v>
      </c>
      <c r="D42" s="152">
        <f>VLOOKUP('Gebruikers Blad'!E12,'Hulp Blad'!C35:G38,5,FALSE)</f>
        <v>1</v>
      </c>
      <c r="E42" t="s">
        <v>288</v>
      </c>
    </row>
    <row r="48" spans="1:10" ht="15.75" thickBot="1" x14ac:dyDescent="0.3"/>
    <row r="49" spans="1:15" ht="45.75" thickBot="1" x14ac:dyDescent="0.3">
      <c r="A49" s="12" t="s">
        <v>273</v>
      </c>
      <c r="B49" s="12"/>
      <c r="C49" s="12" t="s">
        <v>274</v>
      </c>
      <c r="D49" s="152">
        <f>VLOOKUP('Gebruikers Blad'!E19,'Hulp Blad'!B5:D8,3,FALSE)</f>
        <v>1</v>
      </c>
      <c r="E49" t="s">
        <v>216</v>
      </c>
    </row>
    <row r="51" spans="1:15" ht="15.75" thickBot="1" x14ac:dyDescent="0.3"/>
    <row r="52" spans="1:15" ht="64.5" customHeight="1" thickBot="1" x14ac:dyDescent="0.3">
      <c r="A52" s="325" t="s">
        <v>139</v>
      </c>
      <c r="B52" s="326"/>
      <c r="C52" s="36" t="s">
        <v>103</v>
      </c>
      <c r="D52" s="337" t="s">
        <v>169</v>
      </c>
      <c r="E52" s="338"/>
      <c r="F52" s="338"/>
      <c r="G52" s="339"/>
      <c r="H52" s="321" t="s">
        <v>200</v>
      </c>
      <c r="I52" s="322"/>
      <c r="J52" s="307" t="s">
        <v>201</v>
      </c>
      <c r="K52" s="308"/>
      <c r="L52" s="315" t="s">
        <v>229</v>
      </c>
      <c r="M52" s="316"/>
      <c r="N52" s="305" t="s">
        <v>228</v>
      </c>
      <c r="O52" s="306"/>
    </row>
    <row r="53" spans="1:15" ht="28.5" customHeight="1" x14ac:dyDescent="0.25">
      <c r="A53" s="331" t="s">
        <v>137</v>
      </c>
      <c r="B53" s="332"/>
      <c r="C53" s="58" t="s">
        <v>247</v>
      </c>
      <c r="D53" s="103">
        <f>'Gebruikers Blad'!E28</f>
        <v>3</v>
      </c>
      <c r="E53" s="104" t="s">
        <v>138</v>
      </c>
      <c r="F53" s="236">
        <v>0</v>
      </c>
      <c r="G53" s="223" t="s">
        <v>267</v>
      </c>
      <c r="H53" s="103">
        <v>1</v>
      </c>
      <c r="I53" s="178" t="s">
        <v>134</v>
      </c>
      <c r="J53" s="309" t="s">
        <v>217</v>
      </c>
      <c r="K53" s="310"/>
      <c r="L53" s="183">
        <f>'Gebruikers Blad'!$E$31*'Hulp Blad'!$D$27+'Gebruikers Blad'!$E$32*'Hulp Blad'!$D$28+'Gebruikers Blad'!$E$33*'Hulp Blad'!$D$29</f>
        <v>140</v>
      </c>
      <c r="M53" s="34" t="s">
        <v>78</v>
      </c>
      <c r="N53" s="181">
        <v>0</v>
      </c>
      <c r="O53" s="39" t="s">
        <v>78</v>
      </c>
    </row>
    <row r="54" spans="1:15" ht="62.25" customHeight="1" x14ac:dyDescent="0.25">
      <c r="A54" s="333"/>
      <c r="B54" s="334"/>
      <c r="C54" s="83" t="s">
        <v>268</v>
      </c>
      <c r="D54" s="103">
        <f>'Gebruikers Blad'!E28</f>
        <v>3</v>
      </c>
      <c r="E54" s="104" t="s">
        <v>138</v>
      </c>
      <c r="F54" s="237">
        <f>'Gebruikers Blad'!E28</f>
        <v>3</v>
      </c>
      <c r="G54" s="223" t="s">
        <v>267</v>
      </c>
      <c r="H54" s="103">
        <v>1</v>
      </c>
      <c r="I54" s="178" t="s">
        <v>134</v>
      </c>
      <c r="J54" s="309" t="s">
        <v>217</v>
      </c>
      <c r="K54" s="310"/>
      <c r="L54" s="183">
        <f>'Gebruikers Blad'!$E$31*'Hulp Blad'!$D$27+'Gebruikers Blad'!$E$32*'Hulp Blad'!$D$28+'Gebruikers Blad'!$E$33*'Hulp Blad'!$D$29</f>
        <v>140</v>
      </c>
      <c r="M54" s="34" t="s">
        <v>78</v>
      </c>
      <c r="N54" s="214">
        <f>L54</f>
        <v>140</v>
      </c>
      <c r="O54" s="39" t="s">
        <v>78</v>
      </c>
    </row>
    <row r="55" spans="1:15" ht="30" x14ac:dyDescent="0.25">
      <c r="A55" s="333"/>
      <c r="B55" s="334"/>
      <c r="C55" s="59" t="s">
        <v>248</v>
      </c>
      <c r="D55" s="107">
        <v>1</v>
      </c>
      <c r="E55" s="108" t="s">
        <v>138</v>
      </c>
      <c r="F55" s="237">
        <f>'Gebruikers Blad'!E28-1</f>
        <v>2</v>
      </c>
      <c r="G55" s="238" t="s">
        <v>267</v>
      </c>
      <c r="H55" s="107">
        <v>1</v>
      </c>
      <c r="I55" s="179" t="s">
        <v>134</v>
      </c>
      <c r="J55" s="309" t="s">
        <v>217</v>
      </c>
      <c r="K55" s="310"/>
      <c r="L55" s="183">
        <f>$D$27*'Gebruikers Blad'!$E$31</f>
        <v>50</v>
      </c>
      <c r="M55" s="34" t="s">
        <v>78</v>
      </c>
      <c r="N55" s="57">
        <f>'Gebruikers Blad'!$E$32*'Hulp Blad'!$D$28+'Gebruikers Blad'!$E$33*'Hulp Blad'!$D$29</f>
        <v>90</v>
      </c>
      <c r="O55" s="39" t="s">
        <v>78</v>
      </c>
    </row>
    <row r="56" spans="1:15" ht="90.75" thickBot="1" x14ac:dyDescent="0.3">
      <c r="A56" s="333"/>
      <c r="B56" s="334"/>
      <c r="C56" s="83" t="s">
        <v>269</v>
      </c>
      <c r="D56" s="105">
        <v>1</v>
      </c>
      <c r="E56" s="106" t="s">
        <v>138</v>
      </c>
      <c r="F56" s="239">
        <f>'Gebruikers Blad'!E28-1</f>
        <v>2</v>
      </c>
      <c r="G56" s="240" t="s">
        <v>267</v>
      </c>
      <c r="H56" s="103">
        <v>1</v>
      </c>
      <c r="I56" s="178" t="s">
        <v>134</v>
      </c>
      <c r="J56" s="355" t="s">
        <v>217</v>
      </c>
      <c r="K56" s="356"/>
      <c r="L56" s="184">
        <f>$D$27*'Gebruikers Blad'!$E$31</f>
        <v>50</v>
      </c>
      <c r="M56" s="182" t="s">
        <v>78</v>
      </c>
      <c r="N56" s="60">
        <f>'Gebruikers Blad'!$E$32*'Hulp Blad'!$D$28+'Gebruikers Blad'!$E$33*'Hulp Blad'!$D$29</f>
        <v>90</v>
      </c>
      <c r="O56" s="38" t="s">
        <v>78</v>
      </c>
    </row>
    <row r="57" spans="1:15" ht="30" x14ac:dyDescent="0.25">
      <c r="A57" s="333"/>
      <c r="B57" s="334"/>
      <c r="C57" s="59" t="s">
        <v>243</v>
      </c>
      <c r="D57" s="107">
        <v>0</v>
      </c>
      <c r="E57" s="108" t="s">
        <v>138</v>
      </c>
      <c r="F57" s="237">
        <f>'Gebruikers Blad'!E28</f>
        <v>3</v>
      </c>
      <c r="G57" s="238" t="s">
        <v>267</v>
      </c>
      <c r="H57" s="107">
        <v>0</v>
      </c>
      <c r="I57" s="179" t="s">
        <v>134</v>
      </c>
      <c r="J57" s="311" t="s">
        <v>203</v>
      </c>
      <c r="K57" s="312"/>
      <c r="L57" s="185">
        <v>0</v>
      </c>
      <c r="M57" s="34" t="s">
        <v>78</v>
      </c>
      <c r="N57" s="57">
        <f>'Gebruikers Blad'!E31*'Hulp Blad'!D27+'Gebruikers Blad'!E32*'Hulp Blad'!D28+'Gebruikers Blad'!E33*'Hulp Blad'!D29</f>
        <v>140</v>
      </c>
      <c r="O57" s="39" t="s">
        <v>78</v>
      </c>
    </row>
    <row r="58" spans="1:15" ht="60.75" thickBot="1" x14ac:dyDescent="0.3">
      <c r="A58" s="335"/>
      <c r="B58" s="336"/>
      <c r="C58" s="65" t="s">
        <v>184</v>
      </c>
      <c r="D58" s="109">
        <v>0</v>
      </c>
      <c r="E58" s="110" t="s">
        <v>138</v>
      </c>
      <c r="F58" s="241">
        <v>0</v>
      </c>
      <c r="G58" s="242" t="s">
        <v>267</v>
      </c>
      <c r="H58" s="109">
        <v>0</v>
      </c>
      <c r="I58" s="180" t="s">
        <v>134</v>
      </c>
      <c r="J58" s="317" t="s">
        <v>203</v>
      </c>
      <c r="K58" s="318"/>
      <c r="L58" s="186">
        <v>0</v>
      </c>
      <c r="M58" s="66" t="s">
        <v>78</v>
      </c>
      <c r="N58" s="187">
        <v>0</v>
      </c>
      <c r="O58" s="68" t="s">
        <v>78</v>
      </c>
    </row>
    <row r="59" spans="1:15" x14ac:dyDescent="0.25">
      <c r="A59" s="12"/>
      <c r="B59" s="12"/>
      <c r="C59" s="12"/>
    </row>
    <row r="60" spans="1:15" x14ac:dyDescent="0.25">
      <c r="A60" s="12"/>
      <c r="B60" s="12"/>
      <c r="C60" s="12"/>
    </row>
    <row r="61" spans="1:15" ht="78.75" x14ac:dyDescent="0.25">
      <c r="A61" s="314" t="s">
        <v>224</v>
      </c>
      <c r="B61" s="314"/>
      <c r="C61" s="314"/>
      <c r="D61" s="177">
        <f>VLOOKUP('Gebruikers Blad'!$E$42,'Hulp Blad'!$C$53:$O$58,10,FALSE)</f>
        <v>140</v>
      </c>
      <c r="E61" s="188" t="s">
        <v>78</v>
      </c>
      <c r="F61" s="243" t="s">
        <v>226</v>
      </c>
      <c r="G61" s="243"/>
    </row>
    <row r="62" spans="1:15" ht="15.75" x14ac:dyDescent="0.25">
      <c r="A62" s="189"/>
      <c r="B62" s="189"/>
      <c r="C62" s="189"/>
      <c r="D62" s="177"/>
      <c r="E62" s="177"/>
      <c r="F62" s="243"/>
      <c r="G62" s="243"/>
    </row>
    <row r="63" spans="1:15" ht="78.75" x14ac:dyDescent="0.25">
      <c r="A63" s="314" t="s">
        <v>225</v>
      </c>
      <c r="B63" s="314"/>
      <c r="C63" s="314"/>
      <c r="D63" s="177">
        <f>VLOOKUP('Gebruikers Blad'!$E$42,'Hulp Blad'!$C$53:$O$58,12,FALSE)</f>
        <v>0</v>
      </c>
      <c r="E63" s="177" t="s">
        <v>78</v>
      </c>
      <c r="F63" s="243" t="s">
        <v>226</v>
      </c>
      <c r="G63" s="243"/>
    </row>
    <row r="64" spans="1:15" x14ac:dyDescent="0.25">
      <c r="A64" s="12"/>
      <c r="B64" s="12"/>
      <c r="C64" s="12"/>
    </row>
    <row r="65" spans="1:13" ht="15.75" thickBot="1" x14ac:dyDescent="0.3">
      <c r="A65" s="12"/>
      <c r="B65" s="12"/>
      <c r="C65" s="12"/>
    </row>
    <row r="66" spans="1:13" ht="23.25" customHeight="1" thickBot="1" x14ac:dyDescent="0.3">
      <c r="A66" s="325" t="s">
        <v>139</v>
      </c>
      <c r="B66" s="326"/>
      <c r="C66" s="36" t="s">
        <v>103</v>
      </c>
      <c r="D66" s="353" t="s">
        <v>144</v>
      </c>
      <c r="E66" s="338"/>
      <c r="F66" s="338"/>
      <c r="G66" s="339"/>
    </row>
    <row r="67" spans="1:13" ht="30" x14ac:dyDescent="0.25">
      <c r="A67" s="333" t="s">
        <v>143</v>
      </c>
      <c r="B67" s="334"/>
      <c r="C67" s="83" t="s">
        <v>185</v>
      </c>
      <c r="D67" s="72">
        <v>0</v>
      </c>
      <c r="E67" s="60"/>
      <c r="F67" s="244" t="s">
        <v>148</v>
      </c>
      <c r="G67" s="244" t="s">
        <v>148</v>
      </c>
    </row>
    <row r="68" spans="1:13" ht="30" x14ac:dyDescent="0.25">
      <c r="A68" s="333"/>
      <c r="B68" s="334"/>
      <c r="C68" s="69" t="s">
        <v>151</v>
      </c>
      <c r="D68" s="71">
        <v>2000</v>
      </c>
      <c r="E68" s="57" t="s">
        <v>145</v>
      </c>
      <c r="F68" s="245" t="s">
        <v>149</v>
      </c>
      <c r="G68" s="245" t="s">
        <v>149</v>
      </c>
    </row>
    <row r="69" spans="1:13" ht="45" x14ac:dyDescent="0.25">
      <c r="A69" s="333"/>
      <c r="B69" s="334"/>
      <c r="C69" s="213" t="s">
        <v>265</v>
      </c>
      <c r="D69" s="71">
        <v>1500</v>
      </c>
      <c r="E69" s="57" t="s">
        <v>145</v>
      </c>
      <c r="F69" s="245" t="s">
        <v>266</v>
      </c>
      <c r="G69" s="245" t="s">
        <v>328</v>
      </c>
    </row>
    <row r="70" spans="1:13" ht="150" x14ac:dyDescent="0.25">
      <c r="A70" s="333"/>
      <c r="B70" s="334"/>
      <c r="C70" s="59" t="s">
        <v>309</v>
      </c>
      <c r="D70" s="72">
        <v>15000</v>
      </c>
      <c r="E70" s="34" t="s">
        <v>146</v>
      </c>
      <c r="F70" s="244" t="s">
        <v>312</v>
      </c>
      <c r="G70" s="230" t="s">
        <v>329</v>
      </c>
    </row>
    <row r="71" spans="1:13" ht="165.75" thickBot="1" x14ac:dyDescent="0.3">
      <c r="A71" s="335"/>
      <c r="B71" s="336"/>
      <c r="C71" s="65" t="s">
        <v>311</v>
      </c>
      <c r="D71" s="73">
        <v>25000</v>
      </c>
      <c r="E71" s="67" t="s">
        <v>146</v>
      </c>
      <c r="F71" s="244" t="s">
        <v>310</v>
      </c>
      <c r="G71" s="246" t="s">
        <v>330</v>
      </c>
    </row>
    <row r="72" spans="1:13" x14ac:dyDescent="0.25">
      <c r="A72" s="12"/>
      <c r="B72" s="12"/>
      <c r="C72" s="12"/>
    </row>
    <row r="73" spans="1:13" x14ac:dyDescent="0.25">
      <c r="A73" s="12"/>
      <c r="B73" s="12"/>
      <c r="C73" s="12"/>
    </row>
    <row r="74" spans="1:13" x14ac:dyDescent="0.25">
      <c r="B74" s="12"/>
      <c r="C74" s="12"/>
    </row>
    <row r="75" spans="1:13" ht="60.75" customHeight="1" x14ac:dyDescent="0.25">
      <c r="A75" s="196"/>
      <c r="B75" s="197"/>
      <c r="C75" s="197" t="s">
        <v>254</v>
      </c>
      <c r="D75" s="197">
        <f>VLOOKUP('Gebruikers Blad'!E19,'Hulp Blad'!B5:E8,3,FALSE)</f>
        <v>1</v>
      </c>
      <c r="E75" s="354" t="s">
        <v>253</v>
      </c>
      <c r="F75" s="354"/>
      <c r="G75" s="354"/>
    </row>
    <row r="76" spans="1:13" x14ac:dyDescent="0.25">
      <c r="A76" s="12"/>
      <c r="B76" s="12"/>
      <c r="C76" s="12"/>
    </row>
    <row r="77" spans="1:13" x14ac:dyDescent="0.25">
      <c r="A77" s="12"/>
      <c r="B77" s="12"/>
      <c r="C77" s="12"/>
    </row>
    <row r="78" spans="1:13" ht="15.75" thickBot="1" x14ac:dyDescent="0.3">
      <c r="A78" s="12"/>
      <c r="B78" s="12"/>
      <c r="C78" s="12"/>
    </row>
    <row r="79" spans="1:13" ht="47.25" customHeight="1" thickBot="1" x14ac:dyDescent="0.3">
      <c r="A79" s="340" t="s">
        <v>139</v>
      </c>
      <c r="B79" s="341"/>
      <c r="C79" s="126" t="s">
        <v>103</v>
      </c>
      <c r="D79" s="127" t="s">
        <v>144</v>
      </c>
      <c r="E79" s="127"/>
      <c r="F79" s="247"/>
      <c r="G79" s="220"/>
      <c r="H79" s="351" t="s">
        <v>164</v>
      </c>
      <c r="I79" s="352"/>
      <c r="J79" s="351" t="s">
        <v>160</v>
      </c>
      <c r="K79" s="352"/>
      <c r="L79" s="351" t="s">
        <v>161</v>
      </c>
      <c r="M79" s="352"/>
    </row>
    <row r="80" spans="1:13" ht="120" x14ac:dyDescent="0.25">
      <c r="A80" s="333" t="s">
        <v>153</v>
      </c>
      <c r="B80" s="334"/>
      <c r="C80" s="58" t="s">
        <v>154</v>
      </c>
      <c r="D80" s="269" t="s">
        <v>307</v>
      </c>
      <c r="E80" s="62"/>
      <c r="F80" s="248"/>
      <c r="G80" s="249"/>
      <c r="H80" s="99">
        <v>1</v>
      </c>
      <c r="I80" s="53" t="s">
        <v>134</v>
      </c>
      <c r="J80" s="99">
        <v>1</v>
      </c>
      <c r="K80" s="53" t="s">
        <v>134</v>
      </c>
      <c r="L80" s="99">
        <v>1</v>
      </c>
      <c r="M80" s="53" t="s">
        <v>134</v>
      </c>
    </row>
    <row r="81" spans="1:13" ht="30" x14ac:dyDescent="0.25">
      <c r="A81" s="333"/>
      <c r="B81" s="334"/>
      <c r="C81" s="59" t="s">
        <v>156</v>
      </c>
      <c r="D81" s="70" t="s">
        <v>317</v>
      </c>
      <c r="E81" s="34"/>
      <c r="F81" s="250"/>
      <c r="G81" s="232"/>
      <c r="H81" s="99">
        <v>1</v>
      </c>
      <c r="I81" s="53" t="s">
        <v>134</v>
      </c>
      <c r="J81" s="99">
        <v>0</v>
      </c>
      <c r="K81" s="53" t="s">
        <v>134</v>
      </c>
      <c r="L81" s="99">
        <v>1</v>
      </c>
      <c r="M81" s="53" t="s">
        <v>134</v>
      </c>
    </row>
    <row r="82" spans="1:13" ht="30.75" thickBot="1" x14ac:dyDescent="0.3">
      <c r="A82" s="335"/>
      <c r="B82" s="336"/>
      <c r="C82" s="65" t="s">
        <v>155</v>
      </c>
      <c r="D82" s="74" t="s">
        <v>157</v>
      </c>
      <c r="E82" s="66"/>
      <c r="F82" s="251"/>
      <c r="G82" s="234"/>
      <c r="H82" s="112">
        <v>0</v>
      </c>
      <c r="I82" s="77" t="s">
        <v>134</v>
      </c>
      <c r="J82" s="112">
        <v>0</v>
      </c>
      <c r="K82" s="77" t="s">
        <v>134</v>
      </c>
      <c r="L82" s="112">
        <v>0</v>
      </c>
      <c r="M82" s="77" t="s">
        <v>134</v>
      </c>
    </row>
    <row r="83" spans="1:13" x14ac:dyDescent="0.25">
      <c r="A83" s="12"/>
      <c r="B83" s="12"/>
      <c r="C83" s="12"/>
    </row>
    <row r="84" spans="1:13" ht="15.75" thickBot="1" x14ac:dyDescent="0.3">
      <c r="A84" s="12"/>
      <c r="B84" s="12"/>
      <c r="C84" s="12"/>
    </row>
    <row r="85" spans="1:13" ht="56.25" customHeight="1" thickBot="1" x14ac:dyDescent="0.3">
      <c r="A85" s="325" t="s">
        <v>139</v>
      </c>
      <c r="B85" s="326"/>
      <c r="C85" s="202" t="s">
        <v>103</v>
      </c>
      <c r="D85" s="150" t="s">
        <v>144</v>
      </c>
      <c r="E85" s="149"/>
      <c r="F85" s="219"/>
      <c r="G85" s="219"/>
      <c r="H85" s="323" t="s">
        <v>213</v>
      </c>
      <c r="I85" s="324"/>
      <c r="J85" s="323" t="s">
        <v>214</v>
      </c>
      <c r="K85" s="324"/>
    </row>
    <row r="86" spans="1:13" ht="30" x14ac:dyDescent="0.25">
      <c r="A86" s="327" t="s">
        <v>170</v>
      </c>
      <c r="B86" s="328"/>
      <c r="C86" s="203" t="s">
        <v>171</v>
      </c>
      <c r="D86" s="164" t="s">
        <v>173</v>
      </c>
      <c r="E86" s="165"/>
      <c r="F86" s="252"/>
      <c r="G86" s="253"/>
      <c r="H86" s="99">
        <v>1</v>
      </c>
      <c r="I86" s="97" t="s">
        <v>134</v>
      </c>
      <c r="J86" s="99">
        <v>0</v>
      </c>
      <c r="K86" s="97" t="s">
        <v>134</v>
      </c>
    </row>
    <row r="87" spans="1:13" ht="30.75" thickBot="1" x14ac:dyDescent="0.3">
      <c r="A87" s="329"/>
      <c r="B87" s="330"/>
      <c r="C87" s="204" t="s">
        <v>172</v>
      </c>
      <c r="D87" s="163" t="s">
        <v>174</v>
      </c>
      <c r="E87" s="111"/>
      <c r="F87" s="251"/>
      <c r="G87" s="251"/>
      <c r="H87" s="100">
        <v>0</v>
      </c>
      <c r="I87" s="98" t="s">
        <v>134</v>
      </c>
      <c r="J87" s="100">
        <v>1</v>
      </c>
      <c r="K87" s="98" t="s">
        <v>134</v>
      </c>
    </row>
    <row r="88" spans="1:13" x14ac:dyDescent="0.25">
      <c r="A88" s="12"/>
      <c r="B88" s="12"/>
      <c r="C88" s="12"/>
    </row>
    <row r="89" spans="1:13" x14ac:dyDescent="0.25">
      <c r="A89" s="12"/>
      <c r="B89" s="12"/>
      <c r="C89" s="12"/>
    </row>
    <row r="90" spans="1:13" ht="15.75" thickBot="1" x14ac:dyDescent="0.3">
      <c r="B90" s="12"/>
      <c r="C90" s="12"/>
    </row>
    <row r="91" spans="1:13" ht="15.75" thickBot="1" x14ac:dyDescent="0.3">
      <c r="A91" s="12" t="s">
        <v>202</v>
      </c>
      <c r="B91" s="12"/>
      <c r="C91" s="12" t="s">
        <v>211</v>
      </c>
      <c r="D91" s="152">
        <f>VLOOKUP('Gebruikers Blad'!$E$42,'Hulp Blad'!$C$53:$K$58,6,FALSE)*VLOOKUP('Gebruikers Blad'!E19,'Hulp Blad'!$B$5:$E$8,3,FALSE)</f>
        <v>1</v>
      </c>
    </row>
    <row r="92" spans="1:13" x14ac:dyDescent="0.25">
      <c r="A92" s="12"/>
      <c r="B92" s="12"/>
      <c r="C92" s="12"/>
    </row>
    <row r="93" spans="1:13" ht="15.75" thickBot="1" x14ac:dyDescent="0.3">
      <c r="A93" s="12"/>
      <c r="B93" s="12"/>
      <c r="C93" s="12"/>
      <c r="H93" s="23"/>
      <c r="I93" s="23"/>
      <c r="J93" s="23"/>
      <c r="K93" s="23"/>
      <c r="L93" s="23"/>
      <c r="M93" s="23"/>
    </row>
    <row r="94" spans="1:13" ht="15.75" thickBot="1" x14ac:dyDescent="0.3">
      <c r="A94" s="325" t="s">
        <v>139</v>
      </c>
      <c r="B94" s="326"/>
      <c r="C94" s="36" t="s">
        <v>103</v>
      </c>
      <c r="D94" s="323" t="s">
        <v>207</v>
      </c>
      <c r="E94" s="324"/>
      <c r="F94" s="323" t="s">
        <v>208</v>
      </c>
      <c r="G94" s="324"/>
      <c r="H94" s="23"/>
      <c r="I94" s="23"/>
      <c r="J94" s="23"/>
      <c r="K94" s="23"/>
      <c r="L94" s="23"/>
      <c r="M94" s="23"/>
    </row>
    <row r="95" spans="1:13" ht="30" x14ac:dyDescent="0.25">
      <c r="A95" s="327" t="s">
        <v>197</v>
      </c>
      <c r="B95" s="328"/>
      <c r="C95" s="49" t="s">
        <v>198</v>
      </c>
      <c r="D95" s="99">
        <v>0</v>
      </c>
      <c r="E95" s="97" t="s">
        <v>134</v>
      </c>
      <c r="F95" s="254">
        <v>1</v>
      </c>
      <c r="G95" s="223" t="s">
        <v>134</v>
      </c>
      <c r="H95" s="23"/>
      <c r="I95" s="23"/>
      <c r="J95" s="23"/>
      <c r="K95" s="23"/>
      <c r="L95" s="23"/>
      <c r="M95" s="23"/>
    </row>
    <row r="96" spans="1:13" ht="30.75" thickBot="1" x14ac:dyDescent="0.3">
      <c r="A96" s="329"/>
      <c r="B96" s="330"/>
      <c r="C96" s="51" t="s">
        <v>199</v>
      </c>
      <c r="D96" s="100">
        <v>1</v>
      </c>
      <c r="E96" s="98" t="s">
        <v>134</v>
      </c>
      <c r="F96" s="255">
        <v>0</v>
      </c>
      <c r="G96" s="224" t="s">
        <v>134</v>
      </c>
      <c r="H96" s="23"/>
      <c r="I96" s="23"/>
      <c r="J96" s="23"/>
      <c r="K96" s="23"/>
      <c r="L96" s="23"/>
      <c r="M96" s="23"/>
    </row>
    <row r="97" spans="1:13" x14ac:dyDescent="0.25">
      <c r="A97" s="12"/>
      <c r="B97" s="12"/>
      <c r="C97" s="12"/>
      <c r="H97" s="23"/>
      <c r="I97" s="23"/>
      <c r="J97" s="23"/>
      <c r="K97" s="23"/>
      <c r="L97" s="23"/>
      <c r="M97" s="23"/>
    </row>
    <row r="98" spans="1:13" x14ac:dyDescent="0.25">
      <c r="A98" s="12"/>
      <c r="B98" s="12"/>
      <c r="C98" s="12"/>
      <c r="H98" s="23"/>
      <c r="I98" s="23"/>
      <c r="J98" s="23"/>
      <c r="K98" s="23"/>
      <c r="L98" s="23"/>
      <c r="M98" s="23"/>
    </row>
    <row r="99" spans="1:13" x14ac:dyDescent="0.25">
      <c r="A99" s="12"/>
      <c r="B99" s="12"/>
      <c r="C99" s="12"/>
      <c r="H99" s="23"/>
      <c r="I99" s="23"/>
      <c r="J99" s="23"/>
      <c r="K99" s="23"/>
      <c r="L99" s="23"/>
      <c r="M99" s="23"/>
    </row>
    <row r="100" spans="1:13" x14ac:dyDescent="0.25">
      <c r="A100" s="12"/>
      <c r="B100" s="12"/>
      <c r="C100" s="12"/>
    </row>
    <row r="101" spans="1:13" x14ac:dyDescent="0.25">
      <c r="A101" s="12"/>
      <c r="B101" s="12"/>
      <c r="C101" s="12"/>
    </row>
    <row r="102" spans="1:13" x14ac:dyDescent="0.25">
      <c r="A102" s="12"/>
      <c r="B102" s="12"/>
      <c r="C102" s="12"/>
    </row>
    <row r="103" spans="1:13" x14ac:dyDescent="0.25">
      <c r="A103" s="12"/>
      <c r="B103" s="12"/>
      <c r="C103" s="12"/>
    </row>
    <row r="104" spans="1:13" x14ac:dyDescent="0.25">
      <c r="A104" s="12"/>
      <c r="B104" s="12"/>
      <c r="C104" s="12"/>
    </row>
    <row r="105" spans="1:13" x14ac:dyDescent="0.25">
      <c r="A105" s="12"/>
      <c r="B105" s="12"/>
      <c r="C105" s="12"/>
    </row>
    <row r="106" spans="1:13" x14ac:dyDescent="0.25">
      <c r="A106" s="12"/>
      <c r="B106" s="12"/>
      <c r="C106" s="12"/>
    </row>
    <row r="107" spans="1:13" x14ac:dyDescent="0.25">
      <c r="A107" s="12"/>
      <c r="B107" s="12"/>
      <c r="C107" s="12"/>
    </row>
    <row r="108" spans="1:13" x14ac:dyDescent="0.25">
      <c r="A108" s="12"/>
      <c r="B108" s="12"/>
      <c r="C108" s="12"/>
    </row>
    <row r="109" spans="1:13" x14ac:dyDescent="0.25">
      <c r="A109" s="12"/>
      <c r="B109" s="12"/>
      <c r="C109" s="12"/>
    </row>
    <row r="110" spans="1:13" x14ac:dyDescent="0.25">
      <c r="A110" s="12"/>
      <c r="B110" s="12"/>
      <c r="C110" s="12"/>
    </row>
    <row r="111" spans="1:13" x14ac:dyDescent="0.25">
      <c r="A111" s="12"/>
      <c r="B111" s="12"/>
      <c r="C111" s="12"/>
    </row>
    <row r="112" spans="1:13" x14ac:dyDescent="0.25">
      <c r="A112" s="12"/>
      <c r="B112" s="12"/>
      <c r="C112" s="12"/>
    </row>
    <row r="113" spans="1:3" x14ac:dyDescent="0.25">
      <c r="A113" s="12"/>
      <c r="B113" s="12"/>
      <c r="C113" s="12"/>
    </row>
    <row r="114" spans="1:3" x14ac:dyDescent="0.25">
      <c r="A114" s="12"/>
      <c r="B114" s="12"/>
      <c r="C114" s="12"/>
    </row>
    <row r="115" spans="1:3" x14ac:dyDescent="0.25">
      <c r="A115" s="12"/>
      <c r="B115" s="12"/>
      <c r="C115" s="12"/>
    </row>
    <row r="116" spans="1:3" x14ac:dyDescent="0.25">
      <c r="A116" s="12"/>
      <c r="B116" s="12"/>
      <c r="C116" s="12"/>
    </row>
    <row r="117" spans="1:3" x14ac:dyDescent="0.25">
      <c r="A117" s="12"/>
      <c r="B117" s="12"/>
      <c r="C117" s="12"/>
    </row>
    <row r="118" spans="1:3" x14ac:dyDescent="0.25">
      <c r="A118" s="12"/>
      <c r="B118" s="12"/>
      <c r="C118" s="12"/>
    </row>
    <row r="119" spans="1:3" x14ac:dyDescent="0.25">
      <c r="A119" s="12"/>
      <c r="B119" s="12"/>
      <c r="C119" s="12"/>
    </row>
    <row r="120" spans="1:3" x14ac:dyDescent="0.25">
      <c r="A120" s="12"/>
      <c r="B120" s="12"/>
      <c r="C120" s="12"/>
    </row>
    <row r="121" spans="1:3" x14ac:dyDescent="0.25">
      <c r="A121" s="12"/>
      <c r="B121" s="12"/>
      <c r="C121" s="12"/>
    </row>
    <row r="122" spans="1:3" x14ac:dyDescent="0.25">
      <c r="A122" s="12"/>
      <c r="B122" s="12"/>
      <c r="C122" s="12"/>
    </row>
    <row r="123" spans="1:3" x14ac:dyDescent="0.25">
      <c r="A123" s="12"/>
      <c r="B123" s="12"/>
      <c r="C123" s="12"/>
    </row>
    <row r="124" spans="1:3" x14ac:dyDescent="0.25">
      <c r="A124" s="12"/>
      <c r="B124" s="12"/>
      <c r="C124" s="12"/>
    </row>
    <row r="125" spans="1:3" x14ac:dyDescent="0.25">
      <c r="A125" s="12"/>
      <c r="B125" s="12"/>
      <c r="C125" s="12"/>
    </row>
    <row r="126" spans="1:3" x14ac:dyDescent="0.25">
      <c r="A126" s="12"/>
      <c r="B126" s="12"/>
      <c r="C126" s="12"/>
    </row>
    <row r="127" spans="1:3" x14ac:dyDescent="0.25">
      <c r="A127" s="12"/>
      <c r="B127" s="12"/>
      <c r="C127" s="12"/>
    </row>
    <row r="128" spans="1:3" x14ac:dyDescent="0.25">
      <c r="A128" s="12"/>
      <c r="B128" s="12"/>
      <c r="C128" s="12"/>
    </row>
    <row r="129" spans="1:3" x14ac:dyDescent="0.25">
      <c r="A129" s="12"/>
      <c r="B129" s="12"/>
      <c r="C129" s="12"/>
    </row>
    <row r="130" spans="1:3" x14ac:dyDescent="0.25">
      <c r="A130" s="12"/>
      <c r="B130" s="12"/>
      <c r="C130" s="12"/>
    </row>
    <row r="131" spans="1:3" x14ac:dyDescent="0.25">
      <c r="A131" s="12"/>
      <c r="B131" s="12"/>
      <c r="C131" s="12"/>
    </row>
    <row r="132" spans="1:3" x14ac:dyDescent="0.25">
      <c r="A132" s="12"/>
      <c r="B132" s="12"/>
      <c r="C132" s="12"/>
    </row>
    <row r="133" spans="1:3" x14ac:dyDescent="0.25">
      <c r="A133" s="12"/>
      <c r="B133" s="12"/>
      <c r="C133" s="12"/>
    </row>
    <row r="134" spans="1:3" x14ac:dyDescent="0.25">
      <c r="A134" s="12"/>
      <c r="B134" s="12"/>
      <c r="C134" s="12"/>
    </row>
    <row r="135" spans="1:3" x14ac:dyDescent="0.25">
      <c r="A135" s="12"/>
      <c r="B135" s="12"/>
      <c r="C135" s="12"/>
    </row>
    <row r="136" spans="1:3" x14ac:dyDescent="0.25">
      <c r="A136" s="12"/>
      <c r="B136" s="12"/>
      <c r="C136" s="12"/>
    </row>
    <row r="137" spans="1:3" x14ac:dyDescent="0.25">
      <c r="A137" s="12"/>
      <c r="B137" s="12"/>
      <c r="C137" s="12"/>
    </row>
    <row r="138" spans="1:3" x14ac:dyDescent="0.25">
      <c r="A138" s="12"/>
      <c r="B138" s="12"/>
      <c r="C138" s="12"/>
    </row>
    <row r="139" spans="1:3" x14ac:dyDescent="0.25">
      <c r="A139" s="12"/>
      <c r="B139" s="12"/>
      <c r="C139" s="12"/>
    </row>
    <row r="140" spans="1:3" x14ac:dyDescent="0.25">
      <c r="A140" s="12"/>
      <c r="B140" s="12"/>
      <c r="C140" s="12"/>
    </row>
    <row r="141" spans="1:3" x14ac:dyDescent="0.25">
      <c r="A141" s="12"/>
      <c r="B141" s="12"/>
      <c r="C141" s="12"/>
    </row>
    <row r="142" spans="1:3" x14ac:dyDescent="0.25">
      <c r="A142" s="12"/>
      <c r="B142" s="12"/>
      <c r="C142" s="12"/>
    </row>
    <row r="143" spans="1:3" x14ac:dyDescent="0.25">
      <c r="A143" s="12"/>
      <c r="B143" s="12"/>
      <c r="C143" s="12"/>
    </row>
    <row r="144" spans="1:3" x14ac:dyDescent="0.25">
      <c r="A144" s="12"/>
      <c r="B144" s="12"/>
      <c r="C144" s="12"/>
    </row>
  </sheetData>
  <mergeCells count="48">
    <mergeCell ref="H11:I11"/>
    <mergeCell ref="J11:K11"/>
    <mergeCell ref="L11:M11"/>
    <mergeCell ref="F11:G11"/>
    <mergeCell ref="H79:I79"/>
    <mergeCell ref="H52:I52"/>
    <mergeCell ref="D66:G66"/>
    <mergeCell ref="L79:M79"/>
    <mergeCell ref="J79:K79"/>
    <mergeCell ref="E75:G75"/>
    <mergeCell ref="J54:K54"/>
    <mergeCell ref="J56:K56"/>
    <mergeCell ref="A5:A8"/>
    <mergeCell ref="A19:A22"/>
    <mergeCell ref="A12:A15"/>
    <mergeCell ref="A1:C1"/>
    <mergeCell ref="D11:E11"/>
    <mergeCell ref="D4:E4"/>
    <mergeCell ref="D18:E18"/>
    <mergeCell ref="N11:O11"/>
    <mergeCell ref="H85:I85"/>
    <mergeCell ref="J85:K85"/>
    <mergeCell ref="A94:B94"/>
    <mergeCell ref="A95:B96"/>
    <mergeCell ref="A53:B58"/>
    <mergeCell ref="A52:B52"/>
    <mergeCell ref="D52:G52"/>
    <mergeCell ref="A66:B66"/>
    <mergeCell ref="A67:B71"/>
    <mergeCell ref="A85:B85"/>
    <mergeCell ref="A86:B87"/>
    <mergeCell ref="D94:E94"/>
    <mergeCell ref="A79:B79"/>
    <mergeCell ref="A80:B82"/>
    <mergeCell ref="F94:G94"/>
    <mergeCell ref="A27:B29"/>
    <mergeCell ref="B31:C31"/>
    <mergeCell ref="A61:C61"/>
    <mergeCell ref="A63:C63"/>
    <mergeCell ref="L52:M52"/>
    <mergeCell ref="J58:K58"/>
    <mergeCell ref="A34:B34"/>
    <mergeCell ref="A35:B38"/>
    <mergeCell ref="N52:O52"/>
    <mergeCell ref="J52:K52"/>
    <mergeCell ref="J53:K53"/>
    <mergeCell ref="J55:K55"/>
    <mergeCell ref="J57:K57"/>
  </mergeCells>
  <phoneticPr fontId="7" type="noConversion"/>
  <pageMargins left="0.7" right="0.7" top="0.75" bottom="0.75" header="0.3" footer="0.3"/>
  <pageSetup paperSize="8" scale="3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1FD72-307C-4A23-8E36-3B7FFCD98011}">
  <sheetPr>
    <pageSetUpPr fitToPage="1"/>
  </sheetPr>
  <dimension ref="A1:M85"/>
  <sheetViews>
    <sheetView topLeftCell="A38" workbookViewId="0">
      <selection activeCell="J38" sqref="J38"/>
    </sheetView>
  </sheetViews>
  <sheetFormatPr defaultRowHeight="15" x14ac:dyDescent="0.25"/>
  <cols>
    <col min="2" max="2" width="49.5703125" bestFit="1" customWidth="1"/>
    <col min="4" max="4" width="11.85546875" bestFit="1" customWidth="1"/>
    <col min="5" max="5" width="32.5703125" customWidth="1"/>
    <col min="6" max="6" width="32.28515625" bestFit="1" customWidth="1"/>
    <col min="7" max="7" width="24.28515625" bestFit="1" customWidth="1"/>
    <col min="9" max="9" width="11.140625" customWidth="1"/>
    <col min="10" max="10" width="32.85546875" bestFit="1" customWidth="1"/>
    <col min="11" max="11" width="8.85546875" customWidth="1"/>
    <col min="13" max="13" width="20.42578125" customWidth="1"/>
  </cols>
  <sheetData>
    <row r="1" spans="1:13" ht="61.5" x14ac:dyDescent="0.9">
      <c r="A1" s="358" t="s">
        <v>98</v>
      </c>
      <c r="B1" s="358"/>
      <c r="C1" s="358"/>
      <c r="D1" s="358"/>
      <c r="E1" s="358"/>
      <c r="F1" s="358"/>
      <c r="G1" s="358"/>
      <c r="H1" s="358"/>
      <c r="I1" s="358"/>
      <c r="J1" s="358"/>
      <c r="K1" s="358"/>
      <c r="L1" s="358"/>
      <c r="M1" s="358"/>
    </row>
    <row r="2" spans="1:13" x14ac:dyDescent="0.25">
      <c r="A2" s="21"/>
      <c r="B2" s="21"/>
      <c r="C2" s="21"/>
      <c r="D2" s="21"/>
      <c r="E2" s="21"/>
      <c r="F2" s="21"/>
      <c r="G2" s="21"/>
      <c r="H2" s="21"/>
      <c r="I2" s="21"/>
      <c r="J2" s="21"/>
      <c r="K2" s="21"/>
      <c r="L2" s="21"/>
      <c r="M2" s="22">
        <f ca="1">NOW()</f>
        <v>44413.583579745369</v>
      </c>
    </row>
    <row r="3" spans="1:13" x14ac:dyDescent="0.25">
      <c r="A3" t="s">
        <v>86</v>
      </c>
      <c r="E3" s="360" t="s">
        <v>232</v>
      </c>
      <c r="F3" s="360"/>
    </row>
    <row r="4" spans="1:13" x14ac:dyDescent="0.25">
      <c r="B4" s="16" t="s">
        <v>82</v>
      </c>
      <c r="C4" s="1"/>
      <c r="D4" s="7"/>
      <c r="E4" s="361" t="s">
        <v>240</v>
      </c>
      <c r="F4" s="361"/>
    </row>
    <row r="5" spans="1:13" x14ac:dyDescent="0.25">
      <c r="B5" s="1" t="s">
        <v>77</v>
      </c>
      <c r="C5" s="1">
        <v>54.29</v>
      </c>
      <c r="D5" s="7" t="s">
        <v>78</v>
      </c>
      <c r="E5" s="361" t="s">
        <v>241</v>
      </c>
      <c r="F5" s="361"/>
    </row>
    <row r="6" spans="1:13" x14ac:dyDescent="0.25">
      <c r="B6" s="1" t="s">
        <v>79</v>
      </c>
      <c r="C6" s="1">
        <v>54.29</v>
      </c>
      <c r="D6" s="7" t="s">
        <v>78</v>
      </c>
      <c r="E6" s="361" t="s">
        <v>242</v>
      </c>
      <c r="F6" s="361"/>
    </row>
    <row r="7" spans="1:13" ht="15.75" thickBot="1" x14ac:dyDescent="0.3">
      <c r="B7" s="1" t="s">
        <v>80</v>
      </c>
      <c r="C7" s="15">
        <v>37.82</v>
      </c>
      <c r="D7" s="7" t="s">
        <v>78</v>
      </c>
    </row>
    <row r="8" spans="1:13" ht="15.75" x14ac:dyDescent="0.25">
      <c r="B8" s="3" t="s">
        <v>81</v>
      </c>
      <c r="C8" s="3">
        <f>SUM(C5:C7)</f>
        <v>146.4</v>
      </c>
      <c r="D8" s="8" t="s">
        <v>78</v>
      </c>
      <c r="F8" s="193" t="s">
        <v>238</v>
      </c>
      <c r="G8" s="192">
        <f>C8</f>
        <v>146.4</v>
      </c>
      <c r="H8" s="192" t="s">
        <v>78</v>
      </c>
    </row>
    <row r="9" spans="1:13" ht="15.75" x14ac:dyDescent="0.25">
      <c r="F9" s="193" t="s">
        <v>239</v>
      </c>
      <c r="G9" s="192">
        <f>C5+C6</f>
        <v>108.58</v>
      </c>
      <c r="H9" s="192" t="s">
        <v>78</v>
      </c>
    </row>
    <row r="10" spans="1:13" ht="15.75" x14ac:dyDescent="0.25">
      <c r="B10" s="1" t="s">
        <v>135</v>
      </c>
      <c r="C10" s="45">
        <v>2</v>
      </c>
      <c r="D10" s="7" t="s">
        <v>136</v>
      </c>
      <c r="F10" s="193" t="s">
        <v>244</v>
      </c>
      <c r="G10" s="192">
        <f>C7</f>
        <v>37.82</v>
      </c>
      <c r="H10" s="192" t="s">
        <v>78</v>
      </c>
    </row>
    <row r="13" spans="1:13" x14ac:dyDescent="0.25">
      <c r="A13" t="s">
        <v>87</v>
      </c>
    </row>
    <row r="14" spans="1:13" ht="30" customHeight="1" x14ac:dyDescent="0.25">
      <c r="B14" s="2" t="s">
        <v>0</v>
      </c>
      <c r="C14" s="1"/>
      <c r="D14" s="7"/>
      <c r="E14" s="4"/>
      <c r="G14" t="s">
        <v>88</v>
      </c>
      <c r="I14" s="357" t="s">
        <v>93</v>
      </c>
      <c r="J14" s="357"/>
      <c r="K14" s="20"/>
      <c r="L14" s="357" t="s">
        <v>94</v>
      </c>
      <c r="M14" s="357"/>
    </row>
    <row r="15" spans="1:13" x14ac:dyDescent="0.25">
      <c r="B15" s="4" t="s">
        <v>2</v>
      </c>
      <c r="C15" s="1"/>
      <c r="D15" s="7"/>
      <c r="E15" s="4"/>
    </row>
    <row r="16" spans="1:13" x14ac:dyDescent="0.25">
      <c r="B16" s="4" t="s">
        <v>53</v>
      </c>
      <c r="C16" s="1" t="s">
        <v>1</v>
      </c>
      <c r="D16" s="7">
        <v>500</v>
      </c>
      <c r="E16" s="4"/>
      <c r="F16" t="s">
        <v>90</v>
      </c>
      <c r="G16" s="194">
        <f>D16</f>
        <v>500</v>
      </c>
    </row>
    <row r="17" spans="2:13" x14ac:dyDescent="0.25">
      <c r="B17" s="4" t="s">
        <v>73</v>
      </c>
      <c r="C17" s="1" t="s">
        <v>1</v>
      </c>
      <c r="D17" s="7">
        <v>10000</v>
      </c>
      <c r="E17" s="4" t="s">
        <v>58</v>
      </c>
      <c r="F17" t="s">
        <v>97</v>
      </c>
      <c r="G17" s="194"/>
      <c r="I17" s="18">
        <f>D17/C8</f>
        <v>68.30601092896174</v>
      </c>
      <c r="J17" s="19" t="s">
        <v>89</v>
      </c>
      <c r="K17" s="19"/>
    </row>
    <row r="18" spans="2:13" x14ac:dyDescent="0.25">
      <c r="B18" s="4" t="s">
        <v>3</v>
      </c>
      <c r="C18" s="1" t="s">
        <v>1</v>
      </c>
      <c r="D18" s="7">
        <v>-2500</v>
      </c>
      <c r="E18" s="4" t="s">
        <v>4</v>
      </c>
      <c r="F18" t="s">
        <v>91</v>
      </c>
      <c r="G18" s="194">
        <f>D18</f>
        <v>-2500</v>
      </c>
    </row>
    <row r="19" spans="2:13" ht="29.25" x14ac:dyDescent="0.25">
      <c r="B19" s="4" t="s">
        <v>5</v>
      </c>
      <c r="C19" s="1" t="s">
        <v>1</v>
      </c>
      <c r="D19" s="7">
        <v>265</v>
      </c>
      <c r="E19" s="4" t="s">
        <v>6</v>
      </c>
      <c r="F19" t="s">
        <v>92</v>
      </c>
      <c r="G19" s="194"/>
      <c r="L19" t="s">
        <v>96</v>
      </c>
      <c r="M19" s="18">
        <f>D19</f>
        <v>265</v>
      </c>
    </row>
    <row r="20" spans="2:13" ht="29.25" x14ac:dyDescent="0.25">
      <c r="B20" s="4" t="s">
        <v>7</v>
      </c>
      <c r="C20" s="1" t="s">
        <v>1</v>
      </c>
      <c r="D20" s="7">
        <v>100</v>
      </c>
      <c r="E20" s="4"/>
      <c r="F20" t="s">
        <v>95</v>
      </c>
      <c r="G20" s="194"/>
      <c r="L20" t="s">
        <v>96</v>
      </c>
      <c r="M20" s="18">
        <f>D20</f>
        <v>100</v>
      </c>
    </row>
    <row r="21" spans="2:13" ht="29.25" x14ac:dyDescent="0.25">
      <c r="B21" s="4" t="s">
        <v>8</v>
      </c>
      <c r="C21" s="1" t="s">
        <v>1</v>
      </c>
      <c r="D21" s="7">
        <v>250</v>
      </c>
      <c r="E21" s="4" t="s">
        <v>9</v>
      </c>
      <c r="F21" t="s">
        <v>245</v>
      </c>
      <c r="G21" s="194">
        <f>D21</f>
        <v>250</v>
      </c>
    </row>
    <row r="22" spans="2:13" ht="43.5" x14ac:dyDescent="0.25">
      <c r="B22" s="4" t="s">
        <v>74</v>
      </c>
      <c r="C22" s="1" t="s">
        <v>1</v>
      </c>
      <c r="D22" s="7">
        <v>750</v>
      </c>
      <c r="E22" s="4" t="s">
        <v>10</v>
      </c>
    </row>
    <row r="23" spans="2:13" x14ac:dyDescent="0.25">
      <c r="B23" s="4"/>
      <c r="C23" s="1"/>
      <c r="D23" s="7"/>
      <c r="E23" s="4"/>
    </row>
    <row r="24" spans="2:13" x14ac:dyDescent="0.25">
      <c r="B24" s="4" t="s">
        <v>11</v>
      </c>
      <c r="C24" s="1"/>
      <c r="D24" s="7"/>
      <c r="E24" s="4"/>
    </row>
    <row r="25" spans="2:13" ht="42.75" x14ac:dyDescent="0.25">
      <c r="B25" s="14" t="s">
        <v>75</v>
      </c>
      <c r="C25" s="1" t="s">
        <v>1</v>
      </c>
      <c r="D25" s="7">
        <v>2341</v>
      </c>
      <c r="E25" s="13"/>
      <c r="G25" s="32">
        <v>30</v>
      </c>
      <c r="H25" s="19" t="s">
        <v>129</v>
      </c>
      <c r="I25" s="32">
        <v>116</v>
      </c>
      <c r="J25" t="s">
        <v>127</v>
      </c>
    </row>
    <row r="26" spans="2:13" ht="29.25" x14ac:dyDescent="0.25">
      <c r="B26" s="4" t="s">
        <v>12</v>
      </c>
      <c r="C26" s="1" t="s">
        <v>1</v>
      </c>
      <c r="D26" s="7">
        <v>2625</v>
      </c>
      <c r="E26" s="4" t="s">
        <v>13</v>
      </c>
      <c r="G26" s="32">
        <v>35</v>
      </c>
      <c r="H26" s="19" t="s">
        <v>129</v>
      </c>
    </row>
    <row r="27" spans="2:13" ht="29.25" x14ac:dyDescent="0.25">
      <c r="B27" s="4" t="s">
        <v>14</v>
      </c>
      <c r="C27" s="1" t="s">
        <v>1</v>
      </c>
      <c r="D27" s="7">
        <v>4500</v>
      </c>
      <c r="E27" s="4" t="s">
        <v>60</v>
      </c>
      <c r="G27" s="32">
        <v>60</v>
      </c>
      <c r="H27" s="19" t="s">
        <v>129</v>
      </c>
    </row>
    <row r="28" spans="2:13" x14ac:dyDescent="0.25">
      <c r="B28" s="4" t="s">
        <v>15</v>
      </c>
      <c r="C28" s="1" t="s">
        <v>1</v>
      </c>
      <c r="D28" s="7">
        <v>225</v>
      </c>
      <c r="E28" s="4" t="s">
        <v>50</v>
      </c>
      <c r="G28" s="32">
        <v>225</v>
      </c>
      <c r="H28" t="s">
        <v>132</v>
      </c>
      <c r="I28">
        <v>9</v>
      </c>
      <c r="J28" t="s">
        <v>131</v>
      </c>
    </row>
    <row r="29" spans="2:13" x14ac:dyDescent="0.25">
      <c r="B29" s="4" t="s">
        <v>61</v>
      </c>
      <c r="C29" s="1" t="s">
        <v>1</v>
      </c>
      <c r="D29" s="7">
        <v>1500</v>
      </c>
      <c r="E29" t="s">
        <v>133</v>
      </c>
      <c r="G29" s="32">
        <f>D29/G9</f>
        <v>13.814698839565297</v>
      </c>
      <c r="H29" t="s">
        <v>231</v>
      </c>
    </row>
    <row r="30" spans="2:13" ht="29.25" x14ac:dyDescent="0.25">
      <c r="B30" s="4" t="s">
        <v>62</v>
      </c>
      <c r="C30" s="1" t="s">
        <v>1</v>
      </c>
      <c r="D30" s="7">
        <v>500</v>
      </c>
      <c r="E30" s="4"/>
      <c r="G30" s="32">
        <f>D30/G9</f>
        <v>4.604899613188433</v>
      </c>
      <c r="H30" t="s">
        <v>231</v>
      </c>
    </row>
    <row r="31" spans="2:13" ht="57.75" x14ac:dyDescent="0.25">
      <c r="B31" s="4" t="s">
        <v>84</v>
      </c>
      <c r="C31" s="1" t="s">
        <v>1</v>
      </c>
      <c r="D31" s="7">
        <v>500</v>
      </c>
      <c r="E31" s="4" t="s">
        <v>16</v>
      </c>
      <c r="G31" s="32">
        <f>D31/C5</f>
        <v>9.209799226376866</v>
      </c>
      <c r="H31" t="s">
        <v>231</v>
      </c>
    </row>
    <row r="32" spans="2:13" x14ac:dyDescent="0.25">
      <c r="B32" s="6" t="s">
        <v>54</v>
      </c>
      <c r="C32" s="1" t="s">
        <v>54</v>
      </c>
      <c r="D32" s="7"/>
      <c r="E32" s="4"/>
    </row>
    <row r="33" spans="2:9" x14ac:dyDescent="0.25">
      <c r="B33" s="6"/>
      <c r="C33" s="1"/>
      <c r="D33" s="7"/>
      <c r="E33" s="4"/>
    </row>
    <row r="34" spans="2:9" x14ac:dyDescent="0.25">
      <c r="B34" s="4" t="s">
        <v>17</v>
      </c>
      <c r="C34" s="1"/>
      <c r="D34" s="7"/>
      <c r="E34" s="4"/>
    </row>
    <row r="35" spans="2:9" x14ac:dyDescent="0.25">
      <c r="B35" s="4" t="s">
        <v>18</v>
      </c>
      <c r="C35" s="1" t="s">
        <v>1</v>
      </c>
      <c r="D35" s="7">
        <v>200</v>
      </c>
      <c r="E35" s="4" t="s">
        <v>51</v>
      </c>
      <c r="G35" s="18">
        <f>D35/G10</f>
        <v>5.2882072977260712</v>
      </c>
      <c r="H35" t="s">
        <v>234</v>
      </c>
    </row>
    <row r="36" spans="2:9" x14ac:dyDescent="0.25">
      <c r="B36" s="4" t="s">
        <v>19</v>
      </c>
      <c r="C36" s="1" t="s">
        <v>1</v>
      </c>
      <c r="D36" s="7">
        <v>2400</v>
      </c>
      <c r="E36" s="4" t="s">
        <v>51</v>
      </c>
      <c r="G36" s="18">
        <f>D36/G10</f>
        <v>63.458487572712848</v>
      </c>
      <c r="H36" t="s">
        <v>234</v>
      </c>
    </row>
    <row r="37" spans="2:9" x14ac:dyDescent="0.25">
      <c r="B37" s="4" t="s">
        <v>20</v>
      </c>
      <c r="C37" s="1" t="s">
        <v>1</v>
      </c>
      <c r="D37" s="7">
        <v>480</v>
      </c>
      <c r="E37" s="4" t="s">
        <v>51</v>
      </c>
      <c r="G37" s="18">
        <f>D37/G10</f>
        <v>12.69169751454257</v>
      </c>
      <c r="H37" t="s">
        <v>234</v>
      </c>
    </row>
    <row r="38" spans="2:9" ht="29.25" x14ac:dyDescent="0.25">
      <c r="B38" s="4" t="s">
        <v>21</v>
      </c>
      <c r="C38" s="1" t="s">
        <v>1</v>
      </c>
      <c r="D38" s="7">
        <v>1500</v>
      </c>
      <c r="E38" s="4" t="s">
        <v>56</v>
      </c>
      <c r="G38" s="18">
        <v>15</v>
      </c>
      <c r="H38" t="s">
        <v>234</v>
      </c>
    </row>
    <row r="39" spans="2:9" ht="29.25" x14ac:dyDescent="0.25">
      <c r="B39" s="4" t="s">
        <v>22</v>
      </c>
      <c r="C39" s="1" t="s">
        <v>1</v>
      </c>
      <c r="D39" s="7"/>
      <c r="E39" s="4" t="s">
        <v>23</v>
      </c>
    </row>
    <row r="40" spans="2:9" x14ac:dyDescent="0.25">
      <c r="B40" s="6" t="s">
        <v>54</v>
      </c>
      <c r="C40" s="1"/>
      <c r="D40" s="7"/>
      <c r="E40" s="4"/>
    </row>
    <row r="41" spans="2:9" ht="29.25" x14ac:dyDescent="0.25">
      <c r="B41" s="4" t="s">
        <v>24</v>
      </c>
      <c r="C41" s="1"/>
      <c r="D41" s="7"/>
      <c r="E41" s="4"/>
    </row>
    <row r="42" spans="2:9" ht="57.75" x14ac:dyDescent="0.25">
      <c r="B42" s="4" t="s">
        <v>25</v>
      </c>
      <c r="C42" s="1" t="s">
        <v>1</v>
      </c>
      <c r="D42" s="10" t="s">
        <v>57</v>
      </c>
      <c r="E42" s="4"/>
    </row>
    <row r="43" spans="2:9" ht="29.25" x14ac:dyDescent="0.25">
      <c r="B43" s="4" t="s">
        <v>26</v>
      </c>
      <c r="C43" s="1" t="s">
        <v>1</v>
      </c>
      <c r="D43" s="10" t="s">
        <v>57</v>
      </c>
      <c r="E43" s="4"/>
    </row>
    <row r="44" spans="2:9" ht="43.5" x14ac:dyDescent="0.25">
      <c r="B44" s="4" t="s">
        <v>27</v>
      </c>
      <c r="C44" s="1" t="s">
        <v>1</v>
      </c>
      <c r="D44" s="7">
        <v>1500</v>
      </c>
      <c r="E44" s="4"/>
    </row>
    <row r="45" spans="2:9" x14ac:dyDescent="0.25">
      <c r="B45" s="4"/>
      <c r="C45" s="1"/>
      <c r="D45" s="7"/>
      <c r="E45" s="4"/>
    </row>
    <row r="46" spans="2:9" x14ac:dyDescent="0.25">
      <c r="B46" s="4" t="s">
        <v>28</v>
      </c>
      <c r="C46" s="1"/>
      <c r="D46" s="10"/>
      <c r="E46" s="4" t="s">
        <v>66</v>
      </c>
      <c r="G46" s="359" t="s">
        <v>158</v>
      </c>
      <c r="H46" s="359"/>
      <c r="I46" s="359"/>
    </row>
    <row r="47" spans="2:9" ht="29.25" x14ac:dyDescent="0.25">
      <c r="B47" s="4" t="s">
        <v>29</v>
      </c>
      <c r="C47" s="1" t="s">
        <v>1</v>
      </c>
      <c r="D47" s="10" t="s">
        <v>57</v>
      </c>
      <c r="E47" s="17" t="s">
        <v>83</v>
      </c>
      <c r="G47" s="75">
        <v>100</v>
      </c>
      <c r="H47" s="76" t="s">
        <v>159</v>
      </c>
      <c r="I47" s="76"/>
    </row>
    <row r="48" spans="2:9" x14ac:dyDescent="0.25">
      <c r="B48" s="4" t="s">
        <v>30</v>
      </c>
      <c r="C48" s="1" t="s">
        <v>1</v>
      </c>
      <c r="D48" s="10" t="s">
        <v>57</v>
      </c>
      <c r="E48" s="4"/>
      <c r="G48" s="75">
        <v>750</v>
      </c>
      <c r="H48" s="76" t="s">
        <v>159</v>
      </c>
      <c r="I48" s="76"/>
    </row>
    <row r="49" spans="2:9" x14ac:dyDescent="0.25">
      <c r="B49" s="4" t="s">
        <v>31</v>
      </c>
      <c r="C49" s="1" t="s">
        <v>1</v>
      </c>
      <c r="D49" s="10" t="s">
        <v>57</v>
      </c>
      <c r="E49" s="4"/>
      <c r="G49" s="75">
        <v>250</v>
      </c>
      <c r="H49" s="76" t="s">
        <v>159</v>
      </c>
      <c r="I49" s="76"/>
    </row>
    <row r="50" spans="2:9" ht="29.25" x14ac:dyDescent="0.25">
      <c r="B50" s="4" t="s">
        <v>32</v>
      </c>
      <c r="C50" s="1" t="s">
        <v>1</v>
      </c>
      <c r="D50" s="10" t="s">
        <v>57</v>
      </c>
      <c r="E50" s="17"/>
      <c r="G50" s="75">
        <v>150</v>
      </c>
      <c r="H50" s="76" t="s">
        <v>159</v>
      </c>
      <c r="I50" s="76"/>
    </row>
    <row r="51" spans="2:9" ht="29.25" x14ac:dyDescent="0.25">
      <c r="B51" s="4" t="s">
        <v>33</v>
      </c>
      <c r="C51" s="1" t="s">
        <v>1</v>
      </c>
      <c r="D51" s="10" t="s">
        <v>57</v>
      </c>
      <c r="E51" s="4"/>
      <c r="G51" s="75" t="s">
        <v>162</v>
      </c>
      <c r="H51" s="76" t="s">
        <v>159</v>
      </c>
      <c r="I51" s="76"/>
    </row>
    <row r="52" spans="2:9" ht="43.5" x14ac:dyDescent="0.25">
      <c r="B52" s="6" t="s">
        <v>34</v>
      </c>
      <c r="C52" s="1" t="s">
        <v>1</v>
      </c>
      <c r="D52" s="10"/>
      <c r="E52" s="4"/>
      <c r="G52" s="75">
        <v>5000</v>
      </c>
      <c r="H52" s="76" t="s">
        <v>159</v>
      </c>
      <c r="I52" s="76"/>
    </row>
    <row r="53" spans="2:9" x14ac:dyDescent="0.25">
      <c r="B53" s="4"/>
      <c r="C53" s="1"/>
      <c r="D53" s="7"/>
      <c r="E53" s="4"/>
    </row>
    <row r="54" spans="2:9" x14ac:dyDescent="0.25">
      <c r="B54" s="4" t="s">
        <v>35</v>
      </c>
      <c r="C54" s="1"/>
      <c r="D54" s="7"/>
      <c r="E54" s="4"/>
    </row>
    <row r="55" spans="2:9" ht="43.5" x14ac:dyDescent="0.25">
      <c r="B55" s="4" t="s">
        <v>55</v>
      </c>
      <c r="C55" s="1" t="s">
        <v>1</v>
      </c>
      <c r="D55" s="7">
        <v>5000</v>
      </c>
      <c r="E55" s="4"/>
    </row>
    <row r="56" spans="2:9" ht="29.25" x14ac:dyDescent="0.25">
      <c r="B56" s="4" t="s">
        <v>36</v>
      </c>
      <c r="C56" s="1" t="s">
        <v>1</v>
      </c>
      <c r="D56" s="7" t="s">
        <v>54</v>
      </c>
      <c r="E56" s="4" t="s">
        <v>76</v>
      </c>
    </row>
    <row r="57" spans="2:9" ht="57.75" x14ac:dyDescent="0.25">
      <c r="B57" s="4" t="s">
        <v>37</v>
      </c>
      <c r="C57" s="1" t="s">
        <v>1</v>
      </c>
      <c r="D57" s="10" t="s">
        <v>57</v>
      </c>
      <c r="E57" s="4"/>
      <c r="G57" s="167">
        <v>750</v>
      </c>
      <c r="H57" s="166" t="s">
        <v>176</v>
      </c>
      <c r="I57" s="166"/>
    </row>
    <row r="58" spans="2:9" x14ac:dyDescent="0.25">
      <c r="B58" s="4"/>
      <c r="C58" s="1"/>
      <c r="D58" s="7"/>
      <c r="E58" s="4"/>
    </row>
    <row r="59" spans="2:9" x14ac:dyDescent="0.25">
      <c r="B59" s="4" t="s">
        <v>38</v>
      </c>
      <c r="C59" s="1"/>
      <c r="D59" s="7"/>
      <c r="E59" s="4"/>
    </row>
    <row r="60" spans="2:9" ht="29.25" x14ac:dyDescent="0.25">
      <c r="B60" s="4" t="s">
        <v>39</v>
      </c>
      <c r="C60" s="1" t="s">
        <v>1</v>
      </c>
      <c r="D60" s="7">
        <v>6000</v>
      </c>
      <c r="E60" s="4" t="s">
        <v>59</v>
      </c>
    </row>
    <row r="61" spans="2:9" x14ac:dyDescent="0.25">
      <c r="B61" s="4" t="s">
        <v>40</v>
      </c>
      <c r="C61" s="1" t="s">
        <v>1</v>
      </c>
      <c r="D61" s="7">
        <v>-1200</v>
      </c>
      <c r="E61" s="4"/>
    </row>
    <row r="62" spans="2:9" ht="29.25" x14ac:dyDescent="0.25">
      <c r="B62" s="4" t="s">
        <v>41</v>
      </c>
      <c r="C62" s="1" t="s">
        <v>1</v>
      </c>
      <c r="D62" s="7">
        <v>150</v>
      </c>
      <c r="E62" s="4"/>
    </row>
    <row r="63" spans="2:9" x14ac:dyDescent="0.25">
      <c r="B63" s="4" t="s">
        <v>54</v>
      </c>
      <c r="C63" s="1" t="s">
        <v>54</v>
      </c>
      <c r="D63" s="7" t="s">
        <v>54</v>
      </c>
      <c r="E63" s="4" t="s">
        <v>54</v>
      </c>
    </row>
    <row r="64" spans="2:9" ht="57.75" x14ac:dyDescent="0.25">
      <c r="B64" s="6" t="s">
        <v>42</v>
      </c>
      <c r="C64" s="1" t="s">
        <v>43</v>
      </c>
      <c r="D64" s="7"/>
      <c r="E64" s="4" t="s">
        <v>23</v>
      </c>
    </row>
    <row r="65" spans="2:5" x14ac:dyDescent="0.25">
      <c r="B65" s="4"/>
      <c r="C65" s="1"/>
      <c r="D65" s="7"/>
      <c r="E65" s="4"/>
    </row>
    <row r="66" spans="2:5" x14ac:dyDescent="0.25">
      <c r="B66" s="4" t="s">
        <v>44</v>
      </c>
      <c r="C66" s="1"/>
      <c r="D66" s="7"/>
      <c r="E66" s="4"/>
    </row>
    <row r="67" spans="2:5" ht="43.5" x14ac:dyDescent="0.25">
      <c r="B67" s="4" t="s">
        <v>45</v>
      </c>
      <c r="C67" s="1" t="s">
        <v>1</v>
      </c>
      <c r="D67" s="11" t="s">
        <v>57</v>
      </c>
      <c r="E67" s="4"/>
    </row>
    <row r="68" spans="2:5" x14ac:dyDescent="0.25">
      <c r="B68" s="4" t="s">
        <v>68</v>
      </c>
      <c r="C68" s="1"/>
      <c r="D68" s="7">
        <v>1500</v>
      </c>
      <c r="E68" s="4"/>
    </row>
    <row r="69" spans="2:5" x14ac:dyDescent="0.25">
      <c r="B69" s="4" t="s">
        <v>52</v>
      </c>
      <c r="C69" s="1"/>
      <c r="D69" s="7">
        <v>750</v>
      </c>
      <c r="E69" s="4"/>
    </row>
    <row r="70" spans="2:5" x14ac:dyDescent="0.25">
      <c r="B70" s="4" t="s">
        <v>69</v>
      </c>
      <c r="C70" s="1" t="s">
        <v>1</v>
      </c>
      <c r="D70" s="7">
        <v>500</v>
      </c>
      <c r="E70" s="4" t="s">
        <v>46</v>
      </c>
    </row>
    <row r="71" spans="2:5" x14ac:dyDescent="0.25">
      <c r="B71" s="4" t="s">
        <v>70</v>
      </c>
      <c r="C71" s="1" t="s">
        <v>1</v>
      </c>
      <c r="D71" s="7">
        <v>2000</v>
      </c>
      <c r="E71" s="4"/>
    </row>
    <row r="72" spans="2:5" ht="57.75" x14ac:dyDescent="0.25">
      <c r="B72" s="4" t="s">
        <v>47</v>
      </c>
      <c r="C72" s="1" t="s">
        <v>1</v>
      </c>
      <c r="D72" s="7"/>
      <c r="E72" s="4" t="s">
        <v>57</v>
      </c>
    </row>
    <row r="73" spans="2:5" x14ac:dyDescent="0.25">
      <c r="B73" s="4" t="s">
        <v>71</v>
      </c>
      <c r="C73" s="1" t="s">
        <v>1</v>
      </c>
      <c r="D73" s="7"/>
      <c r="E73" s="4" t="s">
        <v>57</v>
      </c>
    </row>
    <row r="74" spans="2:5" ht="29.25" x14ac:dyDescent="0.25">
      <c r="B74" s="4" t="s">
        <v>72</v>
      </c>
      <c r="C74" s="1"/>
      <c r="D74" s="7">
        <v>3000</v>
      </c>
      <c r="E74" s="4"/>
    </row>
    <row r="75" spans="2:5" x14ac:dyDescent="0.25">
      <c r="B75" s="4"/>
      <c r="C75" s="1"/>
      <c r="D75" s="7"/>
      <c r="E75" s="4"/>
    </row>
    <row r="76" spans="2:5" x14ac:dyDescent="0.25">
      <c r="B76" s="4" t="s">
        <v>67</v>
      </c>
      <c r="C76" s="1" t="s">
        <v>1</v>
      </c>
      <c r="D76" s="7">
        <v>1500</v>
      </c>
      <c r="E76" s="4"/>
    </row>
    <row r="77" spans="2:5" x14ac:dyDescent="0.25">
      <c r="B77" s="4"/>
      <c r="C77" s="1"/>
      <c r="D77" s="7"/>
      <c r="E77" s="4"/>
    </row>
    <row r="78" spans="2:5" x14ac:dyDescent="0.25">
      <c r="B78" s="4" t="s">
        <v>63</v>
      </c>
      <c r="C78" s="1"/>
      <c r="D78" s="7">
        <v>1500</v>
      </c>
      <c r="E78" s="4"/>
    </row>
    <row r="79" spans="2:5" x14ac:dyDescent="0.25">
      <c r="B79" s="4"/>
      <c r="C79" s="1"/>
      <c r="D79" s="7"/>
      <c r="E79" s="4"/>
    </row>
    <row r="80" spans="2:5" x14ac:dyDescent="0.25">
      <c r="B80" s="4" t="s">
        <v>48</v>
      </c>
      <c r="C80" s="1"/>
      <c r="D80" s="7"/>
      <c r="E80" s="4"/>
    </row>
    <row r="81" spans="2:5" ht="15.75" thickBot="1" x14ac:dyDescent="0.3">
      <c r="B81" s="4" t="s">
        <v>49</v>
      </c>
      <c r="C81" s="1" t="s">
        <v>1</v>
      </c>
      <c r="D81" s="9"/>
      <c r="E81" s="4" t="s">
        <v>57</v>
      </c>
    </row>
    <row r="82" spans="2:5" ht="30" x14ac:dyDescent="0.25">
      <c r="B82" s="5" t="s">
        <v>85</v>
      </c>
      <c r="C82" s="1"/>
      <c r="D82" s="7">
        <f>SUM(D15:D81)</f>
        <v>48336</v>
      </c>
      <c r="E82" s="4"/>
    </row>
    <row r="83" spans="2:5" x14ac:dyDescent="0.25">
      <c r="B83" s="1" t="s">
        <v>64</v>
      </c>
      <c r="C83" s="1"/>
      <c r="D83" s="7">
        <v>4833.6000000000004</v>
      </c>
      <c r="E83" s="4"/>
    </row>
    <row r="84" spans="2:5" ht="15.75" thickBot="1" x14ac:dyDescent="0.3">
      <c r="D84" s="9"/>
      <c r="E84" s="4"/>
    </row>
    <row r="85" spans="2:5" x14ac:dyDescent="0.25">
      <c r="B85" s="3" t="s">
        <v>65</v>
      </c>
      <c r="D85" s="8">
        <f>SUM(D82:D83)</f>
        <v>53169.599999999999</v>
      </c>
      <c r="E85" s="4" t="s">
        <v>54</v>
      </c>
    </row>
  </sheetData>
  <mergeCells count="8">
    <mergeCell ref="I14:J14"/>
    <mergeCell ref="L14:M14"/>
    <mergeCell ref="A1:M1"/>
    <mergeCell ref="G46:I46"/>
    <mergeCell ref="E3:F3"/>
    <mergeCell ref="E4:F4"/>
    <mergeCell ref="E5:F5"/>
    <mergeCell ref="E6:F6"/>
  </mergeCells>
  <phoneticPr fontId="7" type="noConversion"/>
  <pageMargins left="0.7" right="0.7" top="0.75" bottom="0.75" header="0.3" footer="0.3"/>
  <pageSetup paperSize="8" scale="5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Gebruikers Blad</vt:lpstr>
      <vt:lpstr>Hulp Blad</vt:lpstr>
      <vt:lpstr>Gegevens Model Woning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Hans Bout</cp:lastModifiedBy>
  <cp:lastPrinted>2021-07-28T13:14:03Z</cp:lastPrinted>
  <dcterms:created xsi:type="dcterms:W3CDTF">2021-03-21T10:41:18Z</dcterms:created>
  <dcterms:modified xsi:type="dcterms:W3CDTF">2021-08-05T12:00:21Z</dcterms:modified>
</cp:coreProperties>
</file>